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firstSheet="6" activeTab="6"/>
  </bookViews>
  <sheets>
    <sheet name="completed-archive" sheetId="1" state="hidden" r:id="rId1"/>
    <sheet name="release-pln-q1" sheetId="2" state="hidden" r:id="rId2"/>
    <sheet name="priortization" sheetId="3" state="hidden" r:id="rId3"/>
    <sheet name="priortization v2" sheetId="4" state="hidden" r:id="rId4"/>
    <sheet name="allocation-original" sheetId="5" state="hidden" r:id="rId5"/>
    <sheet name="archive-wk-15" sheetId="6" state="hidden" r:id="rId6"/>
    <sheet name="allocation-dev" sheetId="7" r:id="rId7"/>
    <sheet name="allocation-pm" sheetId="8" r:id="rId8"/>
    <sheet name="allocation-creative" sheetId="9" r:id="rId9"/>
    <sheet name="allocation-archive-2013" sheetId="10" state="hidden" r:id="rId10"/>
    <sheet name="capacity" sheetId="11" r:id="rId11"/>
    <sheet name="capacity-archve" sheetId="12" state="hidden" r:id="rId12"/>
    <sheet name="dev-fom" sheetId="13" state="hidden" r:id="rId13"/>
    <sheet name="capacity-arch" sheetId="14" state="hidden" r:id="rId14"/>
    <sheet name="releases" sheetId="15" state="hidden" r:id="rId15"/>
    <sheet name="velocity-200" sheetId="16" state="hidden" r:id="rId16"/>
    <sheet name="velocity-q1" sheetId="17" state="hidden" r:id="rId17"/>
    <sheet name="velocity-198" sheetId="18" state="hidden" r:id="rId18"/>
    <sheet name="velocity-202" sheetId="19" state="hidden" r:id="rId19"/>
    <sheet name="velocity-204" sheetId="20" state="hidden" r:id="rId20"/>
    <sheet name="velocity-206" sheetId="21" state="hidden" r:id="rId21"/>
    <sheet name="velocity-208" sheetId="22" state="hidden" r:id="rId22"/>
    <sheet name="velocity-q3-q3plan" sheetId="23" state="hidden" r:id="rId23"/>
    <sheet name="velocity-q4-q3plan" sheetId="24" state="hidden" r:id="rId24"/>
    <sheet name="m3-stage" sheetId="25" state="hidden" r:id="rId25"/>
    <sheet name="release_2013" sheetId="26" state="hidden" r:id="rId26"/>
    <sheet name="m3-req-trace" sheetId="27" state="hidden" r:id="rId27"/>
    <sheet name="team structure" sheetId="28" state="hidden" r:id="rId28"/>
    <sheet name="resource-variables" sheetId="29" r:id="rId29"/>
    <sheet name="resource-model" sheetId="30" state="hidden" r:id="rId30"/>
    <sheet name="projectlist-codefreeze" sheetId="31" state="hidden" r:id="rId31"/>
    <sheet name="allocation-codefreeze" sheetId="32" state="hidden" r:id="rId32"/>
    <sheet name="APM w Legend" sheetId="33" state="hidden" r:id="rId33"/>
    <sheet name="Chart" sheetId="34" state="hidden" r:id="rId34"/>
    <sheet name="allocation_old" sheetId="35" state="hidden" r:id="rId35"/>
    <sheet name="priortization-120227" sheetId="36" state="hidden" r:id="rId36"/>
    <sheet name="legend" sheetId="37" state="hidden" r:id="rId37"/>
    <sheet name="fom-pulldowns" sheetId="38" state="hidden" r:id="rId38"/>
  </sheets>
  <externalReferences>
    <externalReference r:id="rId41"/>
  </externalReferences>
  <definedNames>
    <definedName name="hrsperweek">'resource-variables'!$C$2</definedName>
    <definedName name="_xlnm._FilterDatabase" localSheetId="7" hidden="1">'allocation-pm'!$A$1:$E$14</definedName>
    <definedName name="_xlnm._FilterDatabase" localSheetId="8" hidden="1">'allocation-creative'!$A$1:$E$21</definedName>
    <definedName name="_xlnm._FilterDatabase" localSheetId="6" hidden="1">'allocation-dev'!$A$1:$E$41</definedName>
    <definedName name="_xlnm._FilterDatabase" localSheetId="12" hidden="1">'dev-fom'!$A$2:$J$37</definedName>
    <definedName name="_xlnm._FilterDatabase" localSheetId="5" hidden="1">'archive-wk-15'!$A$1:$R$124</definedName>
    <definedName name="_xlnm._FilterDatabase" localSheetId="9" hidden="1">'allocation-archive-2013'!$A$1:$F$185</definedName>
  </definedNames>
  <calcPr fullCalcOnLoad="1"/>
</workbook>
</file>

<file path=xl/comments15.xml><?xml version="1.0" encoding="utf-8"?>
<comments xmlns="http://schemas.openxmlformats.org/spreadsheetml/2006/main">
  <authors>
    <author/>
  </authors>
  <commentList>
    <comment ref="C1" authorId="0">
      <text>
        <r>
          <t>calculated</t>
        </r>
      </text>
    </comment>
  </commentList>
</comments>
</file>

<file path=xl/comments3.xml><?xml version="1.0" encoding="utf-8"?>
<comments xmlns="http://schemas.openxmlformats.org/spreadsheetml/2006/main">
  <authors>
    <author/>
  </authors>
  <commentList>
    <comment ref="D1" authorId="0">
      <text>
        <r>
          <t>Is there third party research available to support this?
Is there pilot data (i.e. Project exists in another region)? 
Are there historical metrics (i.e. Similar projects with other companies)? 
Is the likelihood high that the user will adopt the functionality?</t>
        </r>
      </text>
    </comment>
  </commentList>
</comments>
</file>

<file path=xl/sharedStrings.xml><?xml version="1.0" encoding="utf-8"?>
<sst xmlns="http://schemas.openxmlformats.org/spreadsheetml/2006/main" count="5360" uniqueCount="866">
  <si>
    <t>#</t>
  </si>
  <si>
    <t>Initiaive</t>
  </si>
  <si>
    <t>Projects</t>
  </si>
  <si>
    <t>Backlog Projects</t>
  </si>
  <si>
    <t>Resource</t>
  </si>
  <si>
    <t>Team</t>
  </si>
  <si>
    <t>week of</t>
  </si>
  <si>
    <t>Quarter</t>
  </si>
  <si>
    <t>Quarter (static)</t>
  </si>
  <si>
    <t>Status</t>
  </si>
  <si>
    <t>Func.</t>
  </si>
  <si>
    <t>Total lbl for lookup</t>
  </si>
  <si>
    <t>offset:</t>
  </si>
  <si>
    <t>Region</t>
  </si>
  <si>
    <t>SAP Card Connect Integration</t>
  </si>
  <si>
    <t>Product Sets</t>
  </si>
  <si>
    <t>Date Added</t>
  </si>
  <si>
    <t>Final Feature Build Date</t>
  </si>
  <si>
    <t>Project</t>
  </si>
  <si>
    <t>Q?</t>
  </si>
  <si>
    <t>Size</t>
  </si>
  <si>
    <t>Points</t>
  </si>
  <si>
    <t>Redesign?</t>
  </si>
  <si>
    <t>For Retrospective PPT</t>
  </si>
  <si>
    <t>Feature Build #</t>
  </si>
  <si>
    <t>Original Final Hardening Build Date</t>
  </si>
  <si>
    <t>Actual Final Hardening Build Date</t>
  </si>
  <si>
    <t>Original Release Date</t>
  </si>
  <si>
    <t>Release</t>
  </si>
  <si>
    <t>COSTS</t>
  </si>
  <si>
    <t>APAC PDP Template</t>
  </si>
  <si>
    <t>Site Preference Management</t>
  </si>
  <si>
    <t>Req #</t>
  </si>
  <si>
    <t>Type</t>
  </si>
  <si>
    <t>Requirement Name</t>
  </si>
  <si>
    <t>Comp?</t>
  </si>
  <si>
    <t>Proj+Type+Comp</t>
  </si>
  <si>
    <t>Original Date</t>
  </si>
  <si>
    <t>PROJECT</t>
  </si>
  <si>
    <t>Pl</t>
  </si>
  <si>
    <t>Ac</t>
  </si>
  <si>
    <t>Dif</t>
  </si>
  <si>
    <t>PayPal</t>
  </si>
  <si>
    <t>Person</t>
  </si>
  <si>
    <t>Abbreviated</t>
  </si>
  <si>
    <t>Reports To (Innotas approval)</t>
  </si>
  <si>
    <t>Corey McGinnie</t>
  </si>
  <si>
    <t>CMcGinnie</t>
  </si>
  <si>
    <t>PMcElroy</t>
  </si>
  <si>
    <t>pln</t>
  </si>
  <si>
    <t>Aaron Juretus</t>
  </si>
  <si>
    <t>Order Placement Express Checkout (PayPal Only)</t>
  </si>
  <si>
    <t>AJuretus</t>
  </si>
  <si>
    <t>y</t>
  </si>
  <si>
    <t>Jon Long</t>
  </si>
  <si>
    <t>Resource Types</t>
  </si>
  <si>
    <t>JLong</t>
  </si>
  <si>
    <t>Japan Rollout</t>
  </si>
  <si>
    <t>Scott Deitz</t>
  </si>
  <si>
    <t>SDeitz</t>
  </si>
  <si>
    <t>Site Redesign Final Issues</t>
  </si>
  <si>
    <t>Nick Kuhnel</t>
  </si>
  <si>
    <t>US Mobile Redesign</t>
  </si>
  <si>
    <t>NKuhnel</t>
  </si>
  <si>
    <t>Redesign: BR</t>
  </si>
  <si>
    <t>hours/week</t>
  </si>
  <si>
    <t>Peter McElroy</t>
  </si>
  <si>
    <t>Josh Zapin</t>
  </si>
  <si>
    <t>JZapin</t>
  </si>
  <si>
    <t>Keith Baltus</t>
  </si>
  <si>
    <t>KBaltus</t>
  </si>
  <si>
    <t>Brianne Calandra</t>
  </si>
  <si>
    <t>BCalandra</t>
  </si>
  <si>
    <t>Michael Crenshaw</t>
  </si>
  <si>
    <t>MCrenshaw</t>
  </si>
  <si>
    <t>BHemphill</t>
  </si>
  <si>
    <t>William Chambers</t>
  </si>
  <si>
    <t>WChambers</t>
  </si>
  <si>
    <t>Haley Nemann</t>
  </si>
  <si>
    <t>HNemann</t>
  </si>
  <si>
    <t>Maggie Sampson</t>
  </si>
  <si>
    <t>MSampson</t>
  </si>
  <si>
    <t>JGeditz</t>
  </si>
  <si>
    <t>Poonum Rana</t>
  </si>
  <si>
    <t>PRana</t>
  </si>
  <si>
    <t>Jodi Geditz</t>
  </si>
  <si>
    <t>Owner: (Your Name)</t>
  </si>
  <si>
    <t>Mark France</t>
  </si>
  <si>
    <t>MFrance</t>
  </si>
  <si>
    <t>Ben Hemphill</t>
  </si>
  <si>
    <t>Grade</t>
  </si>
  <si>
    <t>Definition</t>
  </si>
  <si>
    <t>Abb.</t>
  </si>
  <si>
    <t>Value</t>
  </si>
  <si>
    <t>Must</t>
  </si>
  <si>
    <t xml:space="preserve">MUST have this. </t>
  </si>
  <si>
    <t>M</t>
  </si>
  <si>
    <t>Activity/Task</t>
  </si>
  <si>
    <t>Detail</t>
  </si>
  <si>
    <t>Should</t>
  </si>
  <si>
    <t>SHOULD have this if at all possible.</t>
  </si>
  <si>
    <t>S</t>
  </si>
  <si>
    <t>Could</t>
  </si>
  <si>
    <t>COULD have this if it does not effect anything else.</t>
  </si>
  <si>
    <t>C</t>
  </si>
  <si>
    <t>Would</t>
  </si>
  <si>
    <t>WOULD be nice to have but some time in the future.</t>
  </si>
  <si>
    <t>W</t>
  </si>
  <si>
    <t>Phase</t>
  </si>
  <si>
    <t>AM</t>
  </si>
  <si>
    <t>FOM - Effort</t>
  </si>
  <si>
    <t>Americas</t>
  </si>
  <si>
    <t>Effort</t>
  </si>
  <si>
    <t>Systems Impacted</t>
  </si>
  <si>
    <t>Effort/Systems Impacted</t>
  </si>
  <si>
    <t>1 week</t>
  </si>
  <si>
    <t>DIS</t>
  </si>
  <si>
    <t>Discovery</t>
  </si>
  <si>
    <t>DWC</t>
  </si>
  <si>
    <t>DemandWare CAPEX</t>
  </si>
  <si>
    <t>AP</t>
  </si>
  <si>
    <t>APAC</t>
  </si>
  <si>
    <t>DEF</t>
  </si>
  <si>
    <t>Define</t>
  </si>
  <si>
    <t>DWM</t>
  </si>
  <si>
    <t>DemandWare Maintenance</t>
  </si>
  <si>
    <t>EU</t>
  </si>
  <si>
    <t>only config change in 1 system</t>
  </si>
  <si>
    <t>DES</t>
  </si>
  <si>
    <t>Design</t>
  </si>
  <si>
    <t>MWC</t>
  </si>
  <si>
    <t>MiddleWare CAPEX</t>
  </si>
  <si>
    <t>GL</t>
  </si>
  <si>
    <t>Global</t>
  </si>
  <si>
    <t>DEV</t>
  </si>
  <si>
    <t>development</t>
  </si>
  <si>
    <t>MWM</t>
  </si>
  <si>
    <t>MiddleWare Maintenance</t>
  </si>
  <si>
    <t>% Allocation</t>
  </si>
  <si>
    <t>BObama</t>
  </si>
  <si>
    <t>KUrban</t>
  </si>
  <si>
    <t>fdev</t>
  </si>
  <si>
    <t>Bugs/Maintenance</t>
  </si>
  <si>
    <t>x</t>
  </si>
  <si>
    <t>Complete</t>
  </si>
  <si>
    <t>Date</t>
  </si>
  <si>
    <t>Bugs-Defects</t>
  </si>
  <si>
    <t>Bug Fixes, Mega Menus</t>
  </si>
  <si>
    <t>Dynamic Size Chips</t>
  </si>
  <si>
    <t>Bugs-Enhancements</t>
  </si>
  <si>
    <t>Redesign: KR</t>
  </si>
  <si>
    <t>OoO</t>
  </si>
  <si>
    <t>Redesign: US Mobile</t>
  </si>
  <si>
    <t>Site Redesign</t>
  </si>
  <si>
    <t>Japan Rollout - Size Chips</t>
  </si>
  <si>
    <t>pm</t>
  </si>
  <si>
    <t>Japan Rollout - Mobile</t>
  </si>
  <si>
    <t>?</t>
  </si>
  <si>
    <t>ForeSee</t>
  </si>
  <si>
    <t>CRM Data Capture EU/AP</t>
  </si>
  <si>
    <t>ZSeeling</t>
  </si>
  <si>
    <t>Activity</t>
  </si>
  <si>
    <t>WSmith</t>
  </si>
  <si>
    <t>Americas Phase 1 XYZ</t>
  </si>
  <si>
    <t>ARC Pricing and Promo project</t>
  </si>
  <si>
    <t>Misc.</t>
  </si>
  <si>
    <t>Japan Rollout - Skins / Styling</t>
  </si>
  <si>
    <t>Team Management</t>
  </si>
  <si>
    <t>Redesign: JP</t>
  </si>
  <si>
    <t>contained in 1 system</t>
  </si>
  <si>
    <t>Adyen EU Rollout</t>
  </si>
  <si>
    <t>DEP</t>
  </si>
  <si>
    <t>Deploy</t>
  </si>
  <si>
    <t>2 weeks</t>
  </si>
  <si>
    <t>Checkout Redesign US</t>
  </si>
  <si>
    <t>3 weeks</t>
  </si>
  <si>
    <t>1 month</t>
  </si>
  <si>
    <t>3 or less systems</t>
  </si>
  <si>
    <t>Date Needed</t>
  </si>
  <si>
    <t>4 +</t>
  </si>
  <si>
    <t>FOM</t>
  </si>
  <si>
    <t>2 months</t>
  </si>
  <si>
    <t>Japan Rollout - MW</t>
  </si>
  <si>
    <t>CRM Phase 2</t>
  </si>
  <si>
    <t>3 months</t>
  </si>
  <si>
    <t>3 months+</t>
  </si>
  <si>
    <t>mPOS</t>
  </si>
  <si>
    <t>FOM - Impact - Region</t>
  </si>
  <si>
    <t>eCom Team</t>
  </si>
  <si>
    <t>Japan Rollout - Data loading</t>
  </si>
  <si>
    <t>Ops</t>
  </si>
  <si>
    <t>Cost Savings</t>
  </si>
  <si>
    <t>Revenue</t>
  </si>
  <si>
    <t>CS/R</t>
  </si>
  <si>
    <t>$0-25K</t>
  </si>
  <si>
    <t>Brazil Rollout - Ops</t>
  </si>
  <si>
    <t>$0-37.5K</t>
  </si>
  <si>
    <t>Japan Rollout - dev MGT</t>
  </si>
  <si>
    <t>Site Redesign - dev MGT</t>
  </si>
  <si>
    <t>CRM Phase 2 - dev MGT</t>
  </si>
  <si>
    <t>mPOS - dev / dev MGT</t>
  </si>
  <si>
    <t>Nkuhnel</t>
  </si>
  <si>
    <t>KKardashian</t>
  </si>
  <si>
    <t>Adminsitrative stuff</t>
  </si>
  <si>
    <t>MJackson</t>
  </si>
  <si>
    <t>copy</t>
  </si>
  <si>
    <t>eCom CFT</t>
  </si>
  <si>
    <t>BRT for Content sharing</t>
  </si>
  <si>
    <t>Certona</t>
  </si>
  <si>
    <t>NPI</t>
  </si>
  <si>
    <t>Training/Support</t>
  </si>
  <si>
    <t>Redesign ABC</t>
  </si>
  <si>
    <t>Home Page</t>
  </si>
  <si>
    <t>Site Performance Improvements, Q2</t>
  </si>
  <si>
    <t>Regional Team Monitors</t>
  </si>
  <si>
    <t>Updated: (Date of Update)</t>
  </si>
  <si>
    <t>Size Chart Rollout</t>
  </si>
  <si>
    <t>Work on the conversion and getting regions on board</t>
  </si>
  <si>
    <t>Mentoring</t>
  </si>
  <si>
    <t>Jira Implementation</t>
  </si>
  <si>
    <t>Proof of Conscept + Business Case</t>
  </si>
  <si>
    <t>VML</t>
  </si>
  <si>
    <t>Redesign 123</t>
  </si>
  <si>
    <t>Offshore team</t>
  </si>
  <si>
    <t>Vacation</t>
  </si>
  <si>
    <t>Landing Page TAB</t>
  </si>
  <si>
    <t>Regression Testing</t>
  </si>
  <si>
    <t>X</t>
  </si>
  <si>
    <t>Landing Page Templates</t>
  </si>
  <si>
    <t>Difficulty Value</t>
  </si>
  <si>
    <t>SEO 2014</t>
  </si>
  <si>
    <t>Annual Cost Savings or Revenue Generation</t>
  </si>
  <si>
    <t>Brazil Rollout</t>
  </si>
  <si>
    <t>St. Off.</t>
  </si>
  <si>
    <t>Korea Rollout</t>
  </si>
  <si>
    <t>Banner Ad XYZ</t>
  </si>
  <si>
    <t>JJackson</t>
  </si>
  <si>
    <t>des</t>
  </si>
  <si>
    <t>Excl</t>
  </si>
  <si>
    <t>N</t>
  </si>
  <si>
    <t>Diff:</t>
  </si>
  <si>
    <t>Bugs</t>
  </si>
  <si>
    <t>Redesign</t>
  </si>
  <si>
    <t>Order Placement Standard Checkout (PayPal only)</t>
  </si>
  <si>
    <t>mPOS Redesign</t>
  </si>
  <si>
    <t>CRM Customer Data Global</t>
  </si>
  <si>
    <t>XYZCompany club digital interface and data routing</t>
  </si>
  <si>
    <t>Actual Date</t>
  </si>
  <si>
    <t>Reason for slip</t>
  </si>
  <si>
    <t>Notes</t>
  </si>
  <si>
    <t>Order Placement Standard Checkout (PayPal and Gift Card)</t>
  </si>
  <si>
    <t>146</t>
  </si>
  <si>
    <t>ForeSee Session Replay</t>
  </si>
  <si>
    <t>HJackman</t>
  </si>
  <si>
    <t>Redesign - US Mobile</t>
  </si>
  <si>
    <t xml:space="preserve">Cancelled order (PayPal Only) </t>
  </si>
  <si>
    <t>ux</t>
  </si>
  <si>
    <t>Skin Adyen for Redesign</t>
  </si>
  <si>
    <t>Demandware A/B Tests</t>
  </si>
  <si>
    <t>Optimization Tests</t>
  </si>
  <si>
    <t>Code Refactoring</t>
  </si>
  <si>
    <t>Order Placement with cut lines (PayPal Only)</t>
  </si>
  <si>
    <t>Dis/Def, Pl</t>
  </si>
  <si>
    <t>Dis/Def, Act</t>
  </si>
  <si>
    <t>Dev, Pl</t>
  </si>
  <si>
    <t>Dev, Act</t>
  </si>
  <si>
    <t>Dep, Pl</t>
  </si>
  <si>
    <t>Dep, Act</t>
  </si>
  <si>
    <t>Demandware Transactional Email Redesign</t>
  </si>
  <si>
    <t>Monetate Program</t>
  </si>
  <si>
    <t>Order Placement with cut lines resulting in negative balance in E1 (PayPal and Gift Card) (This process is the same as Credit and Gift that is currently in place, but PayPal is used in place of the Credit Card.)</t>
  </si>
  <si>
    <t>Mobile Site Global Rollout</t>
  </si>
  <si>
    <t>Redesign: JP/KR/BR Discovery</t>
  </si>
  <si>
    <t>2014 Roadmap</t>
  </si>
  <si>
    <t>Order Placement with failed Authorization (PayPal Only or Dual Payment)</t>
  </si>
  <si>
    <t>Cart Updates, Phase I</t>
  </si>
  <si>
    <t>Hi Conversion POC</t>
  </si>
  <si>
    <t>Misc</t>
  </si>
  <si>
    <t>Total Points</t>
  </si>
  <si>
    <t>Checkout Redesign International</t>
  </si>
  <si>
    <t>Return/RMA is placed (PayPal only order)</t>
  </si>
  <si>
    <t>Cart Updates, Phase II</t>
  </si>
  <si>
    <t>JP/KR Cart Upgrades</t>
  </si>
  <si>
    <t>Return/RMA is placed (PayPal and Gift Card)(Same process as Credit and Gift)</t>
  </si>
  <si>
    <t>Cart Updates, Phase III</t>
  </si>
  <si>
    <t>Redesign: JP/KR/BR General</t>
  </si>
  <si>
    <t>Merchandising Automation, Phase 2</t>
  </si>
  <si>
    <t xml:space="preserve">Wireframe Management </t>
  </si>
  <si>
    <t>Global PDP Enhancements, Phase 1</t>
  </si>
  <si>
    <t>Session timeout after PayPal payment is requested</t>
  </si>
  <si>
    <t>Points moved to next release</t>
  </si>
  <si>
    <t>Actual Release Date</t>
  </si>
  <si>
    <t>Reason for change</t>
  </si>
  <si>
    <t>Points Released</t>
  </si>
  <si>
    <t>Bugs Closed</t>
  </si>
  <si>
    <t>Reopens</t>
  </si>
  <si>
    <t>Order Placement Express Checkout minicart (PayPal Only)</t>
  </si>
  <si>
    <t>n</t>
  </si>
  <si>
    <t>Cart Improvements, Phase 1</t>
  </si>
  <si>
    <t>add</t>
  </si>
  <si>
    <t>Diable PayPal for retail endless aisle iPads</t>
  </si>
  <si>
    <t>SAP Card Connect Integration (part 2)</t>
  </si>
  <si>
    <t>w/o Redesign</t>
  </si>
  <si>
    <t>XYZCompany.com ES_US (MotionPoint Project)</t>
  </si>
  <si>
    <t>mPOS - Ops support</t>
  </si>
  <si>
    <t>Activate XYZCompany Club membership by collecting and storing additional customer-entered data via a web form</t>
  </si>
  <si>
    <t>Allow Site Manager to enable or disable collection of XYZCompany Club data</t>
  </si>
  <si>
    <t>Redesign Bugs</t>
  </si>
  <si>
    <t>Collect different sets of XYZCompany Club data by Locale (e.g., en_US)</t>
  </si>
  <si>
    <t>Q1</t>
  </si>
  <si>
    <t>PayPal in AM Design</t>
  </si>
  <si>
    <t>Support multiple input types for XYZCompany Club profile questions</t>
  </si>
  <si>
    <t>Allow site managers to exclude XYZCompany Club landing pages or sign-up pages from organic search crawlers</t>
  </si>
  <si>
    <t>Cart Improvements, Phase 2: Cart Level Upsell</t>
  </si>
  <si>
    <t>Display a variety of text and image messages that reference the XYZCompany Club signup process</t>
  </si>
  <si>
    <t>Merchandising Automation, Phase 1</t>
  </si>
  <si>
    <t>US ebay upgrades</t>
  </si>
  <si>
    <t>Display a variety of calls to action that trigger the XYZCompany Club signup process</t>
  </si>
  <si>
    <t>Impact Value</t>
  </si>
  <si>
    <t>Adyen Rollout for AU</t>
  </si>
  <si>
    <t>Append new form XYZCompany Club (My-Account-Club) to new account Registration flow</t>
  </si>
  <si>
    <t>Online Coupon Messaging</t>
  </si>
  <si>
    <t>Bug Enhancement (Tier 3 Projects)</t>
  </si>
  <si>
    <t>Pass Club data to ExactTarget</t>
  </si>
  <si>
    <t>Pass Club data to Epicor CRM</t>
  </si>
  <si>
    <t>Note</t>
  </si>
  <si>
    <t>Cart Improvements, Phase 3: Promotional Nearness Messaging</t>
  </si>
  <si>
    <t>Track Club engagement through Omniture</t>
  </si>
  <si>
    <t>Improved newsletter registration workflow APAC</t>
  </si>
  <si>
    <t>Smarphone UK, DE, AU, CA: Search</t>
  </si>
  <si>
    <t>= Adjusted from original prioritization</t>
  </si>
  <si>
    <t>Smarphone UK, DE, AU, CA: Browse</t>
  </si>
  <si>
    <t>Cost/Effort to Implement</t>
  </si>
  <si>
    <t>Smarphone UK, DE, AU, CA: Buy Workflow</t>
  </si>
  <si>
    <t>Tablet Level 1 Optimization UK, DE, AU, CA: Search</t>
  </si>
  <si>
    <t>Tablet Level 1 Optimization UK, DE, AU, CA: Browse</t>
  </si>
  <si>
    <t>function:</t>
  </si>
  <si>
    <t>Tablet Level 1 Optimization UK, DE, AU, CA: Buy Workflow</t>
  </si>
  <si>
    <t>Smarphone UK, DE, AU, CA: Account</t>
  </si>
  <si>
    <t>Smarphone UK, DE, AU, CA: Buy Customer Service</t>
  </si>
  <si>
    <t>Smarphone UK, DE, AU, CA: Store Locator</t>
  </si>
  <si>
    <t>Add Global Promo bar to Japan site.</t>
  </si>
  <si>
    <t xml:space="preserve">Global Masthead for Japan </t>
  </si>
  <si>
    <t>Mini cart hover needs to be added to Japan site</t>
  </si>
  <si>
    <t xml:space="preserve">Add Certona to Japan site. </t>
  </si>
  <si>
    <t xml:space="preserve">Update the Japan site to include the MegaMenu. </t>
  </si>
  <si>
    <t xml:space="preserve">Update Hero Carousel on Japan site </t>
  </si>
  <si>
    <t xml:space="preserve">Update featured content on Japan’s home page </t>
  </si>
  <si>
    <t>XL size + Dur:</t>
  </si>
  <si>
    <t xml:space="preserve">Remove secondary nav in the Japan site </t>
  </si>
  <si>
    <t>L</t>
  </si>
  <si>
    <t>Update Footer</t>
  </si>
  <si>
    <t>Include the Just for You section for Japan site.</t>
  </si>
  <si>
    <t>wk #</t>
  </si>
  <si>
    <t>Global gender landing page needs to be added to Japan site.</t>
  </si>
  <si>
    <t>Update Category page</t>
  </si>
  <si>
    <t xml:space="preserve">Update Sub-Category page </t>
  </si>
  <si>
    <t>ExactTarget 2.0</t>
  </si>
  <si>
    <t xml:space="preserve">Update Product Page (page 2 of a category/subcategory page) </t>
  </si>
  <si>
    <t>Quick Overlay functionality</t>
  </si>
  <si>
    <t xml:space="preserve">Update PDP page on Japan site </t>
  </si>
  <si>
    <t xml:space="preserve">Update Cart section on Japan site </t>
  </si>
  <si>
    <t>Q1*</t>
  </si>
  <si>
    <t xml:space="preserve">Update Checkout </t>
  </si>
  <si>
    <t>Adyen</t>
  </si>
  <si>
    <t>Search needs to be updated to match the new layout</t>
  </si>
  <si>
    <t>Addition of the customer service page on the Japan site</t>
  </si>
  <si>
    <t>The fit and size guide will require some formatting updates</t>
  </si>
  <si>
    <t xml:space="preserve">My Account page </t>
  </si>
  <si>
    <t>Order Status Update</t>
  </si>
  <si>
    <t>Card Connect , 1-Step Refactor</t>
  </si>
  <si>
    <t>Store Locator</t>
  </si>
  <si>
    <t>Review details to be updated</t>
  </si>
  <si>
    <t xml:space="preserve">Email subscriptions for Japan </t>
  </si>
  <si>
    <t>PayPal AU</t>
  </si>
  <si>
    <t xml:space="preserve">Gift Wrapping </t>
  </si>
  <si>
    <t>-</t>
  </si>
  <si>
    <t>Returns</t>
  </si>
  <si>
    <t>Bazaarvoice to be updated (hosted version)</t>
  </si>
  <si>
    <t>LinkShare</t>
  </si>
  <si>
    <t>Criteo</t>
  </si>
  <si>
    <t>Google</t>
  </si>
  <si>
    <t>Yahoo</t>
  </si>
  <si>
    <t>Adcom</t>
  </si>
  <si>
    <t>Site Performance Optimization</t>
  </si>
  <si>
    <t>Cosmi</t>
  </si>
  <si>
    <t>PayPal SG</t>
  </si>
  <si>
    <t>Add Global Promo bar to Korea site.</t>
  </si>
  <si>
    <t>CDN Optimization</t>
  </si>
  <si>
    <t>Global Masthead for Korea</t>
  </si>
  <si>
    <t>Mini cart hover needs to be added to Korea site</t>
  </si>
  <si>
    <t xml:space="preserve">Add Certona to Korea site. </t>
  </si>
  <si>
    <t>Translation Tools</t>
  </si>
  <si>
    <t xml:space="preserve">Update the Korea site to include the MegaMenu. </t>
  </si>
  <si>
    <t xml:space="preserve">Update Hero Carousel on Korea site </t>
  </si>
  <si>
    <t>Later</t>
  </si>
  <si>
    <t>Active</t>
  </si>
  <si>
    <t xml:space="preserve">Update featured content on Korea’s home page </t>
  </si>
  <si>
    <t>Social Sign-In Enhancements</t>
  </si>
  <si>
    <t xml:space="preserve">Remove secondary nav in the Korea site </t>
  </si>
  <si>
    <t>149</t>
  </si>
  <si>
    <t>151</t>
  </si>
  <si>
    <t>154</t>
  </si>
  <si>
    <t>157</t>
  </si>
  <si>
    <t>Include the Just for You section for Korea site.</t>
  </si>
  <si>
    <t>160</t>
  </si>
  <si>
    <t>Storefront Toolkit</t>
  </si>
  <si>
    <t>162</t>
  </si>
  <si>
    <t>164</t>
  </si>
  <si>
    <t>Upgrade Global/Regional eCom CPCs for current business objectives</t>
  </si>
  <si>
    <t>166</t>
  </si>
  <si>
    <t>168</t>
  </si>
  <si>
    <t>Global gender landing page needs to be added to Korea site.</t>
  </si>
  <si>
    <t>171</t>
  </si>
  <si>
    <t>172</t>
  </si>
  <si>
    <t>176</t>
  </si>
  <si>
    <t>179</t>
  </si>
  <si>
    <t>182</t>
  </si>
  <si>
    <t>186</t>
  </si>
  <si>
    <t>190</t>
  </si>
  <si>
    <t>Delayed to Q2</t>
  </si>
  <si>
    <t>Paypal in AM dev</t>
  </si>
  <si>
    <t>Not scheduled</t>
  </si>
  <si>
    <t>Get US BazaarVoice Reviews into AU, SG</t>
  </si>
  <si>
    <t>Deprioritized</t>
  </si>
  <si>
    <t>NA</t>
  </si>
  <si>
    <t>Backlog</t>
  </si>
  <si>
    <t>Adyen TW</t>
  </si>
  <si>
    <t xml:space="preserve">Update PDP page on Korea site </t>
  </si>
  <si>
    <t xml:space="preserve">Update Cart section on Korea site </t>
  </si>
  <si>
    <t>bdev</t>
  </si>
  <si>
    <t>Site Redesign ABC</t>
  </si>
  <si>
    <t>Addition of the customer service page on the Korea site</t>
  </si>
  <si>
    <t>iPhone App 123</t>
  </si>
  <si>
    <t>ARC eCom, Phase 2</t>
  </si>
  <si>
    <t>Localize Merchandise Automation Reports</t>
  </si>
  <si>
    <t>Store Locator </t>
  </si>
  <si>
    <t>$25K-50K</t>
  </si>
  <si>
    <t>$37.5K-75K</t>
  </si>
  <si>
    <t>Email subscriptions for Korea</t>
  </si>
  <si>
    <t>Localize Shoefinder</t>
  </si>
  <si>
    <t>$50K-75K</t>
  </si>
  <si>
    <t>$75K-112.5K</t>
  </si>
  <si>
    <t>NPI: Figs Scrubs</t>
  </si>
  <si>
    <t>DPC</t>
  </si>
  <si>
    <t>Digital Production CAPEX</t>
  </si>
  <si>
    <t>$75K-125K</t>
  </si>
  <si>
    <t>$112.5K-187.5K</t>
  </si>
  <si>
    <t>$125K-200K</t>
  </si>
  <si>
    <t>$187.5K-300K</t>
  </si>
  <si>
    <t>$200K-300K</t>
  </si>
  <si>
    <t>$300K-450K</t>
  </si>
  <si>
    <t>Add Global Promo bar to Brazil site.</t>
  </si>
  <si>
    <t>DPM</t>
  </si>
  <si>
    <t>Digital Production Maintenance</t>
  </si>
  <si>
    <t>$300K-500K</t>
  </si>
  <si>
    <t>$450K-750K</t>
  </si>
  <si>
    <t>MKT</t>
  </si>
  <si>
    <t>Marketing Production Budget</t>
  </si>
  <si>
    <t>OTH</t>
  </si>
  <si>
    <t>$500K-750K</t>
  </si>
  <si>
    <t>Other</t>
  </si>
  <si>
    <t>$750K-1.125M</t>
  </si>
  <si>
    <t>$750K-1M</t>
  </si>
  <si>
    <t>$1.125M-1.5M</t>
  </si>
  <si>
    <t>$1M+</t>
  </si>
  <si>
    <t>$1.5M+</t>
  </si>
  <si>
    <t>FOM - Effort/Cost - Region</t>
  </si>
  <si>
    <t>Cost to Implement</t>
  </si>
  <si>
    <t>Effort to Implement</t>
  </si>
  <si>
    <t>CS/E</t>
  </si>
  <si>
    <t>Global Masthead for Brazil</t>
  </si>
  <si>
    <t>Mini cart hover needs to be added to Brazil site</t>
  </si>
  <si>
    <t xml:space="preserve">Add Certona to Brazil site. </t>
  </si>
  <si>
    <t xml:space="preserve">Update the Brazil site to include the MegaMenu. </t>
  </si>
  <si>
    <t xml:space="preserve">Update Hero Carousel on Brazil site </t>
  </si>
  <si>
    <t>4 weeks</t>
  </si>
  <si>
    <t xml:space="preserve">Update featured content on Brazil’s home page </t>
  </si>
  <si>
    <t>SAP Implementation</t>
  </si>
  <si>
    <t>AU/JP/Global</t>
  </si>
  <si>
    <t>Trendyr Reporting</t>
  </si>
  <si>
    <t xml:space="preserve">Remove secondary nav in the Brazil site </t>
  </si>
  <si>
    <t>5 weeks</t>
  </si>
  <si>
    <t>6 weeks</t>
  </si>
  <si>
    <t>Marketplaces</t>
  </si>
  <si>
    <t>7 weeks</t>
  </si>
  <si>
    <t>Include the Just for You section for Brazil site.</t>
  </si>
  <si>
    <t>Redesign: PL/TW/US</t>
  </si>
  <si>
    <t>8 weeks</t>
  </si>
  <si>
    <t>SAP Meetings</t>
  </si>
  <si>
    <t>B2C</t>
  </si>
  <si>
    <t>9 weeks</t>
  </si>
  <si>
    <t>Global gender landing page needs to be added to Brazil site.</t>
  </si>
  <si>
    <t>10+ weeks</t>
  </si>
  <si>
    <t>dev</t>
  </si>
  <si>
    <t>Conf Factor</t>
  </si>
  <si>
    <t>Redesign: General</t>
  </si>
  <si>
    <t xml:space="preserve">Update PDP page on Brazil site </t>
  </si>
  <si>
    <t xml:space="preserve">Update Cart section on Brazil site </t>
  </si>
  <si>
    <t>Kick off / review</t>
  </si>
  <si>
    <t>GL eCom Team</t>
  </si>
  <si>
    <t>Addition of the customer service page on the Brazil site</t>
  </si>
  <si>
    <t>SJones</t>
  </si>
  <si>
    <t>AU go live</t>
  </si>
  <si>
    <t>Rechartering</t>
  </si>
  <si>
    <t>Email subscriptions for Brazil</t>
  </si>
  <si>
    <t>eCom Mobility: Vendor Selection</t>
  </si>
  <si>
    <t>JP</t>
  </si>
  <si>
    <t xml:space="preserve">Skin/Code Updates to enable Adyen with Redesign         </t>
  </si>
  <si>
    <t>Full cart - add remove button</t>
  </si>
  <si>
    <t>Kount Fraud CA</t>
  </si>
  <si>
    <t>Full cart - add contact information to header area</t>
  </si>
  <si>
    <t>CRM Customer Data</t>
  </si>
  <si>
    <t>Nordic Affiliate Tracking</t>
  </si>
  <si>
    <t>Full cart - Move paypal button to left</t>
  </si>
  <si>
    <t>Redesign: AT</t>
  </si>
  <si>
    <t>Full cart - Add paypal &amp; Checkout button to top of cart</t>
  </si>
  <si>
    <t>Full cart - layout change, move shipping info to bottom</t>
  </si>
  <si>
    <t xml:space="preserve">Full cart - Analytics: Update Add to cart, Page View, Remove Product and Reduce Quantity. </t>
  </si>
  <si>
    <t>Lightbox - addition of a lightbox pop showing what has been added to cart</t>
  </si>
  <si>
    <t>Lightbox - Analytics Update</t>
  </si>
  <si>
    <t>Upsell - Addition of recommended products in lightbox through Certona</t>
  </si>
  <si>
    <t>Upsell - provide HTML/CSS to Certona before Phase II go live</t>
  </si>
  <si>
    <t>Upsell: Add new transformation in Certona, driven by backend flag to accommodate the Add to Cart button without viewing details</t>
  </si>
  <si>
    <t>Upsell: Analytics Update</t>
  </si>
  <si>
    <t>Lightbox: Add toggle to turn off lightbox in Demandware</t>
  </si>
  <si>
    <t>MSimpson</t>
  </si>
  <si>
    <t>qa</t>
  </si>
  <si>
    <t>US Checkout Redesign</t>
  </si>
  <si>
    <t>Flyout: Add toggle to turn off Flyout in Demandware</t>
  </si>
  <si>
    <t>Flyout: Analytics Updates</t>
  </si>
  <si>
    <t>Promotional Nearness: Implement in Cart</t>
  </si>
  <si>
    <t>Mobile Site Global Rollout, Wave 2</t>
  </si>
  <si>
    <t>Promotional Nearness: Implement in Flyout Minicart</t>
  </si>
  <si>
    <t>Impact</t>
  </si>
  <si>
    <t>Promotional Nearness: Implement in Lightbox Minicart</t>
  </si>
  <si>
    <t>Promotional Nearness: Add custom field called “promotional nearness” with wild cards to specify promotional unit messaging.</t>
  </si>
  <si>
    <t>JP Transition</t>
  </si>
  <si>
    <t>Promotional Nearness: Anaytics Update</t>
  </si>
  <si>
    <t>Redesign: Customer Service Section Update</t>
  </si>
  <si>
    <t>Improved newsletter registration</t>
  </si>
  <si>
    <t>ForeSee SessionReplay Tracking</t>
  </si>
  <si>
    <t>Dev</t>
  </si>
  <si>
    <t>Cart Ikp</t>
  </si>
  <si>
    <t>UAT/Build testing</t>
  </si>
  <si>
    <t>QA Builds/Projects</t>
  </si>
  <si>
    <t>NPI: SS14 + Outsource</t>
  </si>
  <si>
    <t>Regressionq</t>
  </si>
  <si>
    <t>Release regression testing</t>
  </si>
  <si>
    <t>EDW/MW</t>
  </si>
  <si>
    <t>EU RMA</t>
  </si>
  <si>
    <t>MW</t>
  </si>
  <si>
    <t>Middleware</t>
  </si>
  <si>
    <t>Phase 2</t>
  </si>
  <si>
    <t>QA S1</t>
  </si>
  <si>
    <t>alloc type</t>
  </si>
  <si>
    <t>194</t>
  </si>
  <si>
    <t>NPI: FH13</t>
  </si>
  <si>
    <t>Train Resource/processing</t>
  </si>
  <si>
    <t>EPresley</t>
  </si>
  <si>
    <t>Automated Regression</t>
  </si>
  <si>
    <t xml:space="preserve"> </t>
  </si>
  <si>
    <t>EU RMA / WM testing</t>
  </si>
  <si>
    <t>DW / MW</t>
  </si>
  <si>
    <t>Akamai EU</t>
  </si>
  <si>
    <t>EU/FR/FI</t>
  </si>
  <si>
    <t>UAT Build Testing</t>
  </si>
  <si>
    <t>Data Loading</t>
  </si>
  <si>
    <t>Late UAT Start by Region</t>
  </si>
  <si>
    <t>4156 - Build way to handle rejected profiles</t>
  </si>
  <si>
    <t>Q2</t>
  </si>
  <si>
    <t>P1 Cart content development</t>
  </si>
  <si>
    <t>tech spec for DW link cartridge/dev</t>
  </si>
  <si>
    <t>Adyen APAC</t>
  </si>
  <si>
    <t>HK</t>
  </si>
  <si>
    <t>Got UAT done early!</t>
  </si>
  <si>
    <t>% Ded</t>
  </si>
  <si>
    <t>Large release with complexities</t>
  </si>
  <si>
    <t>FLnamePM</t>
  </si>
  <si>
    <t>constant</t>
  </si>
  <si>
    <t>Tot Hrs</t>
  </si>
  <si>
    <t>Tot Cost</t>
  </si>
  <si>
    <t>dw</t>
  </si>
  <si>
    <t>FlnameDW</t>
  </si>
  <si>
    <t>peaks</t>
  </si>
  <si>
    <t>mw</t>
  </si>
  <si>
    <t>FlnameMW</t>
  </si>
  <si>
    <t>Automation</t>
  </si>
  <si>
    <t>ops</t>
  </si>
  <si>
    <t>FlnameOP</t>
  </si>
  <si>
    <t>builds</t>
  </si>
  <si>
    <t>FLnameUX</t>
  </si>
  <si>
    <t>tapers</t>
  </si>
  <si>
    <t>Development</t>
  </si>
  <si>
    <t>ba</t>
  </si>
  <si>
    <t>Bug 8456 - 
      NEW: Tracking pixel MyThings DE/EU/FR/IT/UK</t>
  </si>
  <si>
    <t>FLnameBA</t>
  </si>
  <si>
    <t>FLnameQA</t>
  </si>
  <si>
    <t>1 week/contained in 1 system</t>
  </si>
  <si>
    <t>CS: $50K-75K/R: $75K-112.5K</t>
  </si>
  <si>
    <t>Q3</t>
  </si>
  <si>
    <t>dev Mangagement</t>
  </si>
  <si>
    <t>Demandware Outreach/Regional Site Manager Support</t>
  </si>
  <si>
    <t>Burning the midnight tequila.</t>
  </si>
  <si>
    <t>Getting the systems set up</t>
  </si>
  <si>
    <t>Redesign: NO</t>
  </si>
  <si>
    <t>golive</t>
  </si>
  <si>
    <t>Redesign: ES</t>
  </si>
  <si>
    <t>assigned to Ben</t>
  </si>
  <si>
    <t>Redeisgn: IT</t>
  </si>
  <si>
    <t>staging</t>
  </si>
  <si>
    <t>CRM Data into Salesforce</t>
  </si>
  <si>
    <t xml:space="preserve">Meeting w/APAC </t>
  </si>
  <si>
    <t>Bug 8078 - Default Lifestyle Image on PDP to #5 Thumb Display</t>
  </si>
  <si>
    <t>1 month/3 or less systems</t>
  </si>
  <si>
    <t>CS: $300K-500K/R: $450K-750K</t>
  </si>
  <si>
    <t>Mobility: mCommerce Discovery</t>
  </si>
  <si>
    <t>Bug Triage</t>
  </si>
  <si>
    <t>assigned to Josh</t>
  </si>
  <si>
    <t>Bug 8047 - research building a category page that is driven solely by certona</t>
  </si>
  <si>
    <t>CS: $0-25K/R: $0-37.5K</t>
  </si>
  <si>
    <t>3 weeks/contained in 1 system</t>
  </si>
  <si>
    <t>CS: $125K-200K/R: $187.5K-300K</t>
  </si>
  <si>
    <t>assigned to nick</t>
  </si>
  <si>
    <t>Bug 8304 - BR - new payment method (Bradesco)</t>
  </si>
  <si>
    <t>C: $0-25K/E: 1 week</t>
  </si>
  <si>
    <t>retina color chip production</t>
  </si>
  <si>
    <t>JComstock</t>
  </si>
  <si>
    <t>assigned to Brianne</t>
  </si>
  <si>
    <t>Bug 5151 - Set up functionality so source codes work through the mobile site</t>
  </si>
  <si>
    <t>Q4</t>
  </si>
  <si>
    <t>Americas Phase 1 XYZCompany Club Rewards: eComm Integration and Customer Experience on Web</t>
  </si>
  <si>
    <t>*Completed</t>
  </si>
  <si>
    <t>JP Taxation Change</t>
  </si>
  <si>
    <t>Y</t>
  </si>
  <si>
    <t>Mobile Site Global Rollout, Wave 3</t>
  </si>
  <si>
    <t>N|N|N|Y</t>
  </si>
  <si>
    <t>ShoeFinder</t>
  </si>
  <si>
    <t>Services Process Piloting</t>
  </si>
  <si>
    <t>Property Files Tool for BM</t>
  </si>
  <si>
    <t>Redesign: DE</t>
  </si>
  <si>
    <t>1 week/only config change in 1 system</t>
  </si>
  <si>
    <t>verify AU ship confirm query</t>
  </si>
  <si>
    <t>ARC eCom, Phase 1</t>
  </si>
  <si>
    <t>KR Virtual Account Bank Transfer Adyen-Inicis</t>
  </si>
  <si>
    <t>DWiliams</t>
  </si>
  <si>
    <t>Outlet Eligible problems</t>
  </si>
  <si>
    <t>Getting items in DW</t>
  </si>
  <si>
    <t>Mobile Site Global Rollout, Wave 4</t>
  </si>
  <si>
    <t>Banner Optimization</t>
  </si>
  <si>
    <t>C: $25K-50K/E: 2 weeks</t>
  </si>
  <si>
    <t>SEO Url Optimization</t>
  </si>
  <si>
    <t>CS: $25K-50K/R: $37.5K-75K</t>
  </si>
  <si>
    <t>M size + Dur:</t>
  </si>
  <si>
    <t>pending Nate's test</t>
  </si>
  <si>
    <t>Bug 8317 - BR - Pardot (Marketing Automation Solution)</t>
  </si>
  <si>
    <t>Gift with purchase (GWP)</t>
  </si>
  <si>
    <t>Promotional Nearness Messaging</t>
  </si>
  <si>
    <t>Bug 8314 - BR - product recommendation tool</t>
  </si>
  <si>
    <t>C: $50K-75K/E: 3 weeks</t>
  </si>
  <si>
    <t>L size + Dur:</t>
  </si>
  <si>
    <t>Program Mgmt</t>
  </si>
  <si>
    <t>Mobile Only Couponing</t>
  </si>
  <si>
    <t>Update Data</t>
  </si>
  <si>
    <t>CS: $75K-125K/R: $112.5K-187.5K</t>
  </si>
  <si>
    <t>Insuring products are entered</t>
  </si>
  <si>
    <t>Cart Level Upsell</t>
  </si>
  <si>
    <t>Bug 8516 - S7 Size Chip R&amp;D</t>
  </si>
  <si>
    <t>Mobility Roadmap</t>
  </si>
  <si>
    <t>Adyen APAC, Phase 2</t>
  </si>
  <si>
    <t>assigned to Corey</t>
  </si>
  <si>
    <t>Bug 8373 - Implement Site Catalyst Intstrumentation Kit</t>
  </si>
  <si>
    <t>1 month/4 +</t>
  </si>
  <si>
    <t>XYZCompany Club Rewards: eComm Integration and Customer Experience on Web</t>
  </si>
  <si>
    <t>Expanding Wish List Feature</t>
  </si>
  <si>
    <t>Dotomi First Party Cookie (6863)/Mobile Support (7352)</t>
  </si>
  <si>
    <t>Redesign: NL</t>
  </si>
  <si>
    <t>JP Transition:  Criteo, MW Reporting</t>
  </si>
  <si>
    <t>Bug 8417 - BISN Email Template needs to updated</t>
  </si>
  <si>
    <t>TW/SG COD</t>
  </si>
  <si>
    <t>Redesign: EU</t>
  </si>
  <si>
    <t>2 weeks/contained in 1 system</t>
  </si>
  <si>
    <t>Redesign: UK</t>
  </si>
  <si>
    <t>Redesign: FI</t>
  </si>
  <si>
    <t>Mobility: mCommerce Proposal</t>
  </si>
  <si>
    <t>Free Shipping Test: Phase 1</t>
  </si>
  <si>
    <t>Redesign: SE</t>
  </si>
  <si>
    <t>3 months/3 or less systems</t>
  </si>
  <si>
    <t>Global Performance Dashboard - SOW 1</t>
  </si>
  <si>
    <t>CS: $1M+/R: $1.5M+</t>
  </si>
  <si>
    <t>Redesign: FR</t>
  </si>
  <si>
    <t>2 months/3 or less systems</t>
  </si>
  <si>
    <t>assigned to Kiev</t>
  </si>
  <si>
    <t>Redesign: IT</t>
  </si>
  <si>
    <t>svc</t>
  </si>
  <si>
    <t>RBell</t>
  </si>
  <si>
    <t>CS: $750K-1M/R: $1.125M-1.5M</t>
  </si>
  <si>
    <t>Bug 8372 - Add new Product Dimension Attributes</t>
  </si>
  <si>
    <t>Tag Management: Technical Implementation</t>
  </si>
  <si>
    <t>Global Performance Dashboard - SOW 2</t>
  </si>
  <si>
    <t>Redesign: AU</t>
  </si>
  <si>
    <t>Redesign: SG</t>
  </si>
  <si>
    <t>Redesign: HK</t>
  </si>
  <si>
    <t>an</t>
  </si>
  <si>
    <t>Y|Y|Y|Y</t>
  </si>
  <si>
    <t>FlnameAN</t>
  </si>
  <si>
    <t xml:space="preserve">PPC Analysis/Recommendations </t>
  </si>
  <si>
    <t>JP Transition: ChannelAdvisor</t>
  </si>
  <si>
    <t>3 months+/4 +</t>
  </si>
  <si>
    <t>JP Transition: ChannelAdvisor, Criteo, MW Reporting</t>
  </si>
  <si>
    <t xml:space="preserve">Site Optimization Code Review </t>
  </si>
  <si>
    <t>Tag Management: Marketing</t>
  </si>
  <si>
    <t>Various e-marketing data / report extracts</t>
  </si>
  <si>
    <t>Monetate Integration</t>
  </si>
  <si>
    <t>Bug 8247 - Removal of client side js</t>
  </si>
  <si>
    <t>Free Shipping Test: Phase 2 (Free Shipping Thresholds)</t>
  </si>
  <si>
    <t>Omniture First Party Cookies</t>
  </si>
  <si>
    <t>pd</t>
  </si>
  <si>
    <t>FlnamePD</t>
  </si>
  <si>
    <t>AU Shipping Free Shipping Threshold Test</t>
  </si>
  <si>
    <t>Bug 8248 - Removal of server side js</t>
  </si>
  <si>
    <t>Training + Status</t>
  </si>
  <si>
    <t>N|N|N|N</t>
  </si>
  <si>
    <t>Free Shipping Test: Phase 3</t>
  </si>
  <si>
    <t>Pod Move</t>
  </si>
  <si>
    <t>Sale pricing – unclear how long sale will run; rain checks</t>
  </si>
  <si>
    <t>Bug 7996 - Product Setup</t>
  </si>
  <si>
    <t>Adobe Media Optimizer</t>
  </si>
  <si>
    <t>CS: $200K-300K/R: $300K-450K</t>
  </si>
  <si>
    <t>Product Finder: Discovery</t>
  </si>
  <si>
    <t>Americas Assistance on Inventory</t>
  </si>
  <si>
    <t>Email Marketing</t>
  </si>
  <si>
    <t>ET 2.0 Migration</t>
  </si>
  <si>
    <t>Sandbox testing</t>
  </si>
  <si>
    <t>Skin CSS</t>
  </si>
  <si>
    <t>Stretch Sole Landing Page</t>
  </si>
  <si>
    <t>Mobile US Enhancement</t>
  </si>
  <si>
    <t>Recommendations in Transactional Emails (US)</t>
  </si>
  <si>
    <t>assigned to NPI</t>
  </si>
  <si>
    <t>Bug 8194 - BR_Offer more than one shipping method based on customer's zip code</t>
  </si>
  <si>
    <t>Planning + Development</t>
  </si>
  <si>
    <t>12/2013</t>
  </si>
  <si>
    <t>Y|N|N|N</t>
  </si>
  <si>
    <t>RMA Pages/TW Checklist</t>
  </si>
  <si>
    <t>assigned to Kelly</t>
  </si>
  <si>
    <t>Bug 8480 - Gigya flow update</t>
  </si>
  <si>
    <t>Shopping Cart</t>
  </si>
  <si>
    <t>User Testing</t>
  </si>
  <si>
    <t>Customer Service weekly CFT meeting</t>
  </si>
  <si>
    <t>Quarterly CSR Outreach</t>
  </si>
  <si>
    <t>Free Shipping Test</t>
  </si>
  <si>
    <t>assigned to Nick</t>
  </si>
  <si>
    <t>Bug 8151 - Taiwan COD</t>
  </si>
  <si>
    <t>C: $75K-125K/E: 4 weeks</t>
  </si>
  <si>
    <t>Improved RMA Messaging</t>
  </si>
  <si>
    <t>RMA Code refactor</t>
  </si>
  <si>
    <t>offshore team</t>
  </si>
  <si>
    <t>Spec writing</t>
  </si>
  <si>
    <t>Checkout Opt Docs</t>
  </si>
  <si>
    <t>Hours</t>
  </si>
  <si>
    <t>GL MarketPlace initiatives</t>
  </si>
  <si>
    <t>catalog dev</t>
  </si>
  <si>
    <t>Kiev Lead</t>
  </si>
  <si>
    <t>Who</t>
  </si>
  <si>
    <t>Y|N|N|Y</t>
  </si>
  <si>
    <t>Bug 8023 - Minicart Synchronization Feature</t>
  </si>
  <si>
    <t>2 months/4 +</t>
  </si>
  <si>
    <t>QA Plan.  JG: Put in the time you think here</t>
  </si>
  <si>
    <t xml:space="preserve">Bug 7654 - Add tracking for Bug#7592 </t>
  </si>
  <si>
    <t>[bucket 1]</t>
  </si>
  <si>
    <t>Assigned to Ben</t>
  </si>
  <si>
    <t>Bug 8066 - Add CS toolbox to our X-Tools cartridge</t>
  </si>
  <si>
    <t>Bug 4980 - Return an Item input Box activate for Canada</t>
  </si>
  <si>
    <t>Vague dates of when a new style is coming back in stock – customers want to know</t>
  </si>
  <si>
    <t>Bug Support</t>
  </si>
  <si>
    <t>assigned to nate</t>
  </si>
  <si>
    <t>Bug 7134 - Close the ForeSee survey request when the user clicks on the gray portion of the site</t>
  </si>
  <si>
    <t>Coord. Training</t>
  </si>
  <si>
    <t>assigned to kiev</t>
  </si>
  <si>
    <t>Bug 8158 - Need to mask the URL of AU site</t>
  </si>
  <si>
    <t>Bug 8620 - PDP/Quick Look: Replace In Stock "Status Messaging" with Quantity Remaining Call to Action</t>
  </si>
  <si>
    <t>Pinged Andrea; already live</t>
  </si>
  <si>
    <t>Oversight of team</t>
  </si>
  <si>
    <t>Func Spec revision/team guidance</t>
  </si>
  <si>
    <t>ChannelAdvisor Meeting</t>
  </si>
  <si>
    <t>Kickoff meeting with BR</t>
  </si>
  <si>
    <t>3857 - Site Specific Attribution - All XYZCompany Sites need to use site specific attributes</t>
  </si>
  <si>
    <t>Bug 8723 - Check icon for the in stock section</t>
  </si>
  <si>
    <t>Bug 8713 - Mouseover Text - Style instead of Size</t>
  </si>
  <si>
    <t>Bug 8675 - Add to Cart button Messaging Update (Redesign Only)</t>
  </si>
  <si>
    <t>Bug 8608 - Checkout: shippping address page - to change text (AU)</t>
  </si>
  <si>
    <t>Bug 8621 - UX | Move login to my account/create an account into a pop up</t>
  </si>
  <si>
    <t>Bug 7531 - 1x1 Tracking Pixel &amp; Click Command Pixel Generating Tool</t>
  </si>
  <si>
    <t>Bug 8165 - NEW: beslist.nl code snippet required on XYZCompany.nl checkout page</t>
  </si>
  <si>
    <t>Bug 8702 - Update "Free" messaging in JP cart and checkout to work like the US site</t>
  </si>
  <si>
    <t>Bug 8745 - content asset / slot at checkout</t>
  </si>
  <si>
    <t>Bug 8758 - NEW: Option to 'hide' the coupon code field in checkout</t>
  </si>
  <si>
    <t>Bug 8757 - NEW: Option to disable coupon code input in checkout after use</t>
  </si>
  <si>
    <t>pro</t>
  </si>
  <si>
    <t>Support PM</t>
  </si>
  <si>
    <t>Product Management</t>
  </si>
  <si>
    <t>[bucket 2]</t>
  </si>
  <si>
    <t>Sustaining</t>
  </si>
  <si>
    <t>Y|N|Y|Y</t>
  </si>
  <si>
    <t>per</t>
  </si>
  <si>
    <t>oth</t>
  </si>
  <si>
    <t>CS: $500K-750K/R: $750K-1.125M</t>
  </si>
  <si>
    <t>C: $125K-200K/E: 5 weeks</t>
  </si>
  <si>
    <t>New Activities</t>
  </si>
  <si>
    <t>Escalated</t>
  </si>
  <si>
    <t>GoalSetting + Reorg Transition</t>
  </si>
  <si>
    <t>N|Y|Y|Y</t>
  </si>
  <si>
    <t>Oversee Project</t>
  </si>
  <si>
    <t>Charter</t>
  </si>
  <si>
    <t>Getting more product content</t>
  </si>
  <si>
    <t>ProductFinder</t>
  </si>
  <si>
    <t>Bi-Weekly eCom Training</t>
  </si>
  <si>
    <t>Orientation</t>
  </si>
  <si>
    <t>50% PM</t>
  </si>
  <si>
    <t>KSheridan</t>
  </si>
  <si>
    <t>PM Work</t>
  </si>
  <si>
    <t>KSheriden</t>
  </si>
  <si>
    <t>PPC Dashboards, EU Reporting</t>
  </si>
  <si>
    <t>PPC Management: APAC &amp; EU</t>
  </si>
  <si>
    <t>Front End Ops: Sorting, Search, Merch, Content</t>
  </si>
  <si>
    <t>SSO</t>
  </si>
  <si>
    <t>New Projects (need Impact/Difficulty from each Region)</t>
  </si>
  <si>
    <t>Summit 2013</t>
  </si>
  <si>
    <t>Prep and Participation</t>
  </si>
  <si>
    <t>(Blank Row to Copy|Paste)</t>
  </si>
  <si>
    <t>Google Trusted Store</t>
  </si>
  <si>
    <t>Create wireframes</t>
  </si>
  <si>
    <t>UX and Design reviews</t>
  </si>
  <si>
    <t>Wireframe Production</t>
  </si>
  <si>
    <t>Viget Review</t>
  </si>
  <si>
    <t>Y|Y|N|Y</t>
  </si>
  <si>
    <t>Wireframes</t>
  </si>
  <si>
    <t>TOTAL Avail: Offshore team</t>
  </si>
  <si>
    <t>N|Y|N|Y</t>
  </si>
  <si>
    <t xml:space="preserve">  </t>
  </si>
  <si>
    <t>Training</t>
  </si>
  <si>
    <t>Demo of Checkout with Astound</t>
  </si>
  <si>
    <t>CA Tablet</t>
  </si>
  <si>
    <t>DE, AU, CA Smartphone</t>
  </si>
  <si>
    <t>Active Projects</t>
  </si>
  <si>
    <t>Split Testing: Planning, Setup, Reporting</t>
  </si>
  <si>
    <t>Front End Ops: Sorting, Merch, Content</t>
  </si>
  <si>
    <t>Tag Management</t>
  </si>
  <si>
    <t>Dashboards/reports</t>
  </si>
  <si>
    <t>MarketPlaces</t>
  </si>
  <si>
    <t>CRM</t>
  </si>
  <si>
    <t>signature capture requirements</t>
  </si>
  <si>
    <t>Delve Dashboards</t>
  </si>
  <si>
    <t>M3</t>
  </si>
  <si>
    <t>nku</t>
  </si>
  <si>
    <t>instrumentation on analytics</t>
  </si>
  <si>
    <t>Jason Dunagan- CC Rewards</t>
  </si>
  <si>
    <t>Jason Dunagan- Epicor EU/AP</t>
  </si>
  <si>
    <t>Y|N|Y|N</t>
  </si>
  <si>
    <t>Bug- Defects Dev Allocation</t>
  </si>
  <si>
    <t>Project &amp; Ehancements Dev Allocation</t>
  </si>
  <si>
    <t>Resources needing assignments</t>
  </si>
  <si>
    <t>N|N|Y|Y</t>
  </si>
  <si>
    <t>Card Connect, 1-Step Refactor</t>
  </si>
  <si>
    <t>New Projects</t>
  </si>
  <si>
    <t>Completed/Archived Projects</t>
  </si>
</sst>
</file>

<file path=xl/styles.xml><?xml version="1.0" encoding="utf-8"?>
<styleSheet xmlns="http://schemas.openxmlformats.org/spreadsheetml/2006/main" xmlns:x14ac="http://schemas.microsoft.com/office/spreadsheetml/2009/9/ac" xmlns:mc="http://schemas.openxmlformats.org/markup-compatibility/2006">
  <numFmts count="9">
    <numFmt numFmtId="164" formatCode="m/d/yyyy h:mm:ss"/>
    <numFmt numFmtId="165" formatCode="M/d"/>
    <numFmt numFmtId="166" formatCode="$#,##0.00"/>
    <numFmt numFmtId="167" formatCode="$#,##0"/>
    <numFmt numFmtId="168" formatCode="#,##0.###############"/>
    <numFmt numFmtId="169" formatCode="d-MMM"/>
    <numFmt numFmtId="170" formatCode="#,##0;(#,##0)"/>
    <numFmt numFmtId="171" formatCode="M/d/yy"/>
    <numFmt numFmtId="172" formatCode="$#,##0;($#,##0)"/>
  </numFmts>
  <fonts count="25">
    <font>
      <sz val="10"/>
      <color rgb="FF000000"/>
      <name val="Arial"/>
      <family val="2"/>
    </font>
    <font>
      <sz val="10"/>
      <name val="Arial"/>
      <family val="2"/>
    </font>
    <font>
      <b/>
      <sz val="10"/>
      <name val="Arial"/>
      <family val="2"/>
    </font>
    <font>
      <b/>
      <sz val="12"/>
      <color rgb="FF000000"/>
      <name val="Calibri"/>
      <family val="2"/>
    </font>
    <font>
      <b/>
      <sz val="10"/>
      <color rgb="FFFFFFFF"/>
      <name val="Arial"/>
      <family val="2"/>
    </font>
    <font>
      <b/>
      <sz val="10"/>
      <color rgb="FF000000"/>
      <name val="Arial"/>
      <family val="2"/>
    </font>
    <font>
      <b/>
      <sz val="14"/>
      <color rgb="FF000000"/>
      <name val="Arial"/>
      <family val="2"/>
    </font>
    <font>
      <b/>
      <sz val="10"/>
      <color rgb="FF666666"/>
      <name val="Arial"/>
      <family val="2"/>
    </font>
    <font>
      <sz val="12"/>
      <color rgb="FF000000"/>
      <name val="Calibri"/>
      <family val="2"/>
    </font>
    <font>
      <strike/>
      <sz val="10"/>
      <name val="Arial"/>
      <family val="2"/>
    </font>
    <font>
      <sz val="10"/>
      <color rgb="FFFF0000"/>
      <name val="Arial"/>
      <family val="2"/>
    </font>
    <font>
      <u val="single"/>
      <sz val="10"/>
      <color rgb="FF0000FF"/>
      <name val="Arial"/>
      <family val="2"/>
    </font>
    <font>
      <sz val="14"/>
      <color rgb="FF000000"/>
      <name val="Arial"/>
      <family val="2"/>
    </font>
    <font>
      <b/>
      <sz val="12"/>
      <color rgb="FF000000"/>
      <name val="Arial"/>
      <family val="2"/>
    </font>
    <font>
      <sz val="10"/>
      <color rgb="FF666666"/>
      <name val="Arial"/>
      <family val="2"/>
    </font>
    <font>
      <sz val="11"/>
      <color rgb="FF000000"/>
      <name val="Arial"/>
      <family val="2"/>
    </font>
    <font>
      <sz val="12"/>
      <color rgb="FF000000"/>
      <name val="Arial"/>
      <family val="2"/>
    </font>
    <font>
      <u val="single"/>
      <sz val="11"/>
      <color rgb="FF000000"/>
      <name val="Arial"/>
      <family val="2"/>
    </font>
    <font>
      <u val="single"/>
      <sz val="12"/>
      <color rgb="FF000000"/>
      <name val="Arial"/>
      <family val="2"/>
    </font>
    <font>
      <i/>
      <sz val="12"/>
      <color rgb="FF000000"/>
      <name val="Arial"/>
      <family val="2"/>
    </font>
    <font>
      <b/>
      <sz val="12"/>
      <color rgb="FF0070C0"/>
      <name val="Arial"/>
      <family val="2"/>
    </font>
    <font>
      <b/>
      <sz val="12"/>
      <color rgb="FFFFFFFF"/>
      <name val="Arial"/>
      <family val="2"/>
    </font>
    <font>
      <sz val="12"/>
      <color rgb="FFFFFFFF"/>
      <name val="Arial"/>
      <family val="2"/>
    </font>
    <font>
      <sz val="10"/>
      <color rgb="FFFFFFFF"/>
      <name val="Arial"/>
      <family val="2"/>
    </font>
    <font>
      <b/>
      <sz val="8"/>
      <name val="Arial"/>
      <family val="2"/>
    </font>
  </fonts>
  <fills count="20">
    <fill>
      <patternFill/>
    </fill>
    <fill>
      <patternFill patternType="gray125"/>
    </fill>
    <fill>
      <patternFill patternType="solid">
        <fgColor rgb="FFF4CCCC"/>
        <bgColor indexed="64"/>
      </patternFill>
    </fill>
    <fill>
      <patternFill patternType="solid">
        <fgColor rgb="FF000000"/>
        <bgColor indexed="64"/>
      </patternFill>
    </fill>
    <fill>
      <patternFill patternType="solid">
        <fgColor rgb="FFD9EAD3"/>
        <bgColor indexed="64"/>
      </patternFill>
    </fill>
    <fill>
      <patternFill patternType="solid">
        <fgColor rgb="FFEFEFEF"/>
        <bgColor indexed="64"/>
      </patternFill>
    </fill>
    <fill>
      <patternFill patternType="solid">
        <fgColor rgb="FFDD7E6B"/>
        <bgColor indexed="64"/>
      </patternFill>
    </fill>
    <fill>
      <patternFill patternType="solid">
        <fgColor rgb="FFFFF2CC"/>
        <bgColor indexed="64"/>
      </patternFill>
    </fill>
    <fill>
      <patternFill patternType="solid">
        <fgColor rgb="FFB6D7A8"/>
        <bgColor indexed="64"/>
      </patternFill>
    </fill>
    <fill>
      <patternFill patternType="solid">
        <fgColor rgb="FFFFE599"/>
        <bgColor indexed="64"/>
      </patternFill>
    </fill>
    <fill>
      <patternFill patternType="solid">
        <fgColor rgb="FFF9CB9C"/>
        <bgColor indexed="64"/>
      </patternFill>
    </fill>
    <fill>
      <patternFill patternType="solid">
        <fgColor rgb="FFEA9999"/>
        <bgColor indexed="64"/>
      </patternFill>
    </fill>
    <fill>
      <patternFill patternType="solid">
        <fgColor rgb="FFC6D9F0"/>
        <bgColor indexed="64"/>
      </patternFill>
    </fill>
    <fill>
      <patternFill patternType="solid">
        <fgColor rgb="FFCFE2F3"/>
        <bgColor indexed="64"/>
      </patternFill>
    </fill>
    <fill>
      <patternFill patternType="solid">
        <fgColor rgb="FFD8D8D8"/>
        <bgColor indexed="64"/>
      </patternFill>
    </fill>
    <fill>
      <patternFill patternType="solid">
        <fgColor rgb="FFC9DAF8"/>
        <bgColor indexed="64"/>
      </patternFill>
    </fill>
    <fill>
      <patternFill patternType="solid">
        <fgColor rgb="FFD9D9D9"/>
        <bgColor indexed="64"/>
      </patternFill>
    </fill>
    <fill>
      <patternFill patternType="solid">
        <fgColor rgb="FFFFFFFF"/>
        <bgColor indexed="64"/>
      </patternFill>
    </fill>
    <fill>
      <patternFill patternType="solid">
        <fgColor rgb="FF9FC5E8"/>
        <bgColor indexed="64"/>
      </patternFill>
    </fill>
    <fill>
      <patternFill patternType="solid">
        <fgColor rgb="FFFBD4B4"/>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style="thin">
        <color rgb="FF000000"/>
      </top>
      <bottom/>
    </border>
    <border>
      <left/>
      <right style="thin">
        <color rgb="FF000000"/>
      </right>
      <top style="thin">
        <color rgb="FF000000"/>
      </top>
      <bottom/>
    </border>
    <border>
      <left/>
      <right/>
      <top style="thin">
        <color rgb="FF000000"/>
      </top>
      <bottom/>
    </border>
    <border>
      <left style="thin">
        <color rgb="FF000000"/>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bottom style="thin">
        <color rgb="FF000000"/>
      </bottom>
    </border>
    <border>
      <left style="thin">
        <color rgb="FF000000"/>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9">
    <xf numFmtId="0" fontId="0" fillId="0" borderId="0" xfId="0" applyFont="1" applyAlignment="1">
      <alignment wrapText="1"/>
    </xf>
    <xf numFmtId="0" fontId="2" fillId="0" borderId="1" xfId="0" applyFont="1" applyBorder="1" applyAlignment="1">
      <alignment wrapText="1"/>
    </xf>
    <xf numFmtId="0" fontId="2" fillId="0" borderId="2" xfId="0" applyFont="1" applyBorder="1" applyAlignment="1">
      <alignment wrapText="1"/>
    </xf>
    <xf numFmtId="0" fontId="2" fillId="0" borderId="0" xfId="0" applyFont="1" applyAlignment="1">
      <alignment wrapText="1"/>
    </xf>
    <xf numFmtId="0" fontId="2" fillId="0" borderId="1" xfId="0" applyFont="1" applyBorder="1" applyAlignment="1">
      <alignment wrapText="1"/>
    </xf>
    <xf numFmtId="0" fontId="1" fillId="0" borderId="1" xfId="0" applyFont="1" applyBorder="1" applyAlignment="1">
      <alignment wrapText="1"/>
    </xf>
    <xf numFmtId="0" fontId="0" fillId="2" borderId="3" xfId="0" applyFont="1" applyFill="1" applyBorder="1" applyAlignment="1">
      <alignment/>
    </xf>
    <xf numFmtId="164" fontId="1" fillId="0" borderId="1" xfId="0" applyNumberFormat="1" applyFont="1" applyBorder="1" applyAlignment="1">
      <alignment wrapText="1"/>
    </xf>
    <xf numFmtId="0" fontId="1" fillId="0" borderId="1" xfId="0" applyFont="1" applyBorder="1" applyAlignment="1">
      <alignment wrapText="1"/>
    </xf>
    <xf numFmtId="0" fontId="2" fillId="0" borderId="4" xfId="0" applyFont="1" applyBorder="1" applyAlignment="1">
      <alignment wrapText="1"/>
    </xf>
    <xf numFmtId="0" fontId="2" fillId="0" borderId="0" xfId="0" applyFont="1" applyAlignment="1">
      <alignment wrapText="1"/>
    </xf>
    <xf numFmtId="0" fontId="1" fillId="0" borderId="0" xfId="0" applyFont="1" applyAlignment="1">
      <alignment wrapText="1"/>
    </xf>
    <xf numFmtId="0" fontId="2" fillId="3" borderId="5" xfId="0" applyFont="1" applyFill="1" applyBorder="1" applyAlignment="1">
      <alignment wrapText="1"/>
    </xf>
    <xf numFmtId="0" fontId="1" fillId="0" borderId="0" xfId="0" applyFont="1" applyAlignment="1">
      <alignment wrapText="1"/>
    </xf>
    <xf numFmtId="0" fontId="3" fillId="0" borderId="0" xfId="0" applyFont="1" applyAlignment="1">
      <alignment/>
    </xf>
    <xf numFmtId="0" fontId="0" fillId="0" borderId="0" xfId="0" applyFont="1" applyAlignment="1">
      <alignment wrapText="1"/>
    </xf>
    <xf numFmtId="0" fontId="1" fillId="0" borderId="0" xfId="0" applyFont="1" applyAlignment="1">
      <alignment horizontal="right" wrapText="1"/>
    </xf>
    <xf numFmtId="0" fontId="4" fillId="3" borderId="0" xfId="0" applyFont="1" applyAlignment="1">
      <alignment wrapText="1"/>
    </xf>
    <xf numFmtId="0" fontId="1" fillId="0" borderId="6" xfId="0" applyFont="1" applyBorder="1" applyAlignment="1">
      <alignment wrapText="1"/>
    </xf>
    <xf numFmtId="0" fontId="1" fillId="0" borderId="4"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1" fillId="0" borderId="4" xfId="0" applyFont="1" applyBorder="1" applyAlignment="1">
      <alignment wrapText="1"/>
    </xf>
    <xf numFmtId="0" fontId="2" fillId="4" borderId="0" xfId="0" applyFont="1" applyFill="1" applyAlignment="1">
      <alignment wrapText="1"/>
    </xf>
    <xf numFmtId="0" fontId="1" fillId="0" borderId="5" xfId="0" applyFont="1" applyBorder="1" applyAlignment="1">
      <alignment wrapText="1"/>
    </xf>
    <xf numFmtId="0" fontId="1" fillId="4" borderId="0" xfId="0" applyFont="1" applyAlignment="1">
      <alignment wrapText="1"/>
    </xf>
    <xf numFmtId="0" fontId="1" fillId="0" borderId="9" xfId="0" applyFont="1" applyBorder="1" applyAlignment="1">
      <alignment wrapText="1"/>
    </xf>
    <xf numFmtId="0" fontId="4" fillId="3" borderId="0" xfId="0" applyFont="1" applyAlignment="1">
      <alignment wrapText="1"/>
    </xf>
    <xf numFmtId="165" fontId="4" fillId="3" borderId="0" xfId="0" applyNumberFormat="1" applyFont="1" applyAlignment="1">
      <alignment wrapText="1"/>
    </xf>
    <xf numFmtId="0" fontId="0" fillId="0" borderId="0" xfId="0" applyFont="1" applyAlignment="1">
      <alignment horizontal="center" wrapText="1"/>
    </xf>
    <xf numFmtId="165" fontId="0" fillId="0" borderId="0" xfId="0" applyNumberFormat="1" applyFont="1" applyAlignment="1">
      <alignment wrapText="1"/>
    </xf>
    <xf numFmtId="165" fontId="4" fillId="3" borderId="0" xfId="0" applyNumberFormat="1" applyFont="1" applyAlignment="1">
      <alignment wrapText="1"/>
    </xf>
    <xf numFmtId="165" fontId="0" fillId="0" borderId="0" xfId="0" applyNumberFormat="1" applyFont="1" applyAlignment="1">
      <alignment wrapText="1"/>
    </xf>
    <xf numFmtId="0" fontId="0" fillId="0" borderId="0" xfId="0" applyFont="1" applyAlignment="1">
      <alignment wrapText="1"/>
    </xf>
    <xf numFmtId="0" fontId="5" fillId="0" borderId="1" xfId="0" applyFont="1" applyBorder="1" applyAlignment="1">
      <alignment horizontal="center"/>
    </xf>
    <xf numFmtId="0" fontId="1" fillId="0" borderId="0" xfId="0" applyFont="1" applyAlignment="1">
      <alignment wrapText="1"/>
    </xf>
    <xf numFmtId="164" fontId="5" fillId="0" borderId="1" xfId="0" applyNumberFormat="1" applyFont="1" applyBorder="1" applyAlignment="1">
      <alignment horizontal="center"/>
    </xf>
    <xf numFmtId="0" fontId="1" fillId="0" borderId="0" xfId="0" applyFont="1" applyAlignment="1">
      <alignment wrapText="1"/>
    </xf>
    <xf numFmtId="0" fontId="2" fillId="0" borderId="2" xfId="0" applyFont="1" applyBorder="1" applyAlignment="1">
      <alignment wrapText="1"/>
    </xf>
    <xf numFmtId="0" fontId="0" fillId="0" borderId="0" xfId="0" applyFont="1" applyAlignment="1">
      <alignment wrapText="1"/>
    </xf>
    <xf numFmtId="0" fontId="5" fillId="0" borderId="3" xfId="0" applyFont="1" applyBorder="1" applyAlignment="1">
      <alignment horizontal="center"/>
    </xf>
    <xf numFmtId="0" fontId="5" fillId="5" borderId="0" xfId="0" applyFont="1" applyFill="1" applyAlignment="1">
      <alignment wrapText="1"/>
    </xf>
    <xf numFmtId="0" fontId="1" fillId="0" borderId="10" xfId="0" applyFont="1" applyBorder="1" applyAlignment="1">
      <alignment wrapText="1"/>
    </xf>
    <xf numFmtId="0" fontId="2" fillId="5" borderId="0" xfId="0" applyFont="1" applyAlignment="1">
      <alignment wrapText="1"/>
    </xf>
    <xf numFmtId="0" fontId="1" fillId="0" borderId="11" xfId="0" applyFont="1" applyBorder="1" applyAlignment="1">
      <alignment wrapText="1"/>
    </xf>
    <xf numFmtId="0" fontId="2" fillId="5" borderId="0" xfId="0" applyFont="1" applyAlignment="1">
      <alignment wrapText="1"/>
    </xf>
    <xf numFmtId="0" fontId="0" fillId="0" borderId="1" xfId="0" applyFont="1" applyBorder="1" applyAlignment="1">
      <alignment wrapText="1"/>
    </xf>
    <xf numFmtId="0" fontId="5" fillId="5" borderId="0" xfId="0" applyFont="1" applyAlignment="1">
      <alignment horizontal="left" wrapText="1"/>
    </xf>
    <xf numFmtId="164" fontId="0" fillId="0" borderId="1" xfId="0" applyNumberFormat="1" applyFont="1" applyBorder="1" applyAlignment="1">
      <alignment horizontal="center"/>
    </xf>
    <xf numFmtId="0" fontId="5" fillId="5" borderId="0" xfId="0" applyFont="1" applyAlignment="1">
      <alignment wrapText="1"/>
    </xf>
    <xf numFmtId="0" fontId="0" fillId="0" borderId="0" xfId="0" applyFont="1" applyAlignment="1">
      <alignment vertical="center"/>
    </xf>
    <xf numFmtId="0" fontId="5" fillId="5" borderId="0" xfId="0" applyFont="1" applyAlignment="1">
      <alignment vertical="center"/>
    </xf>
    <xf numFmtId="0" fontId="5" fillId="0" borderId="0" xfId="0" applyFont="1" applyAlignment="1">
      <alignment wrapText="1"/>
    </xf>
    <xf numFmtId="0" fontId="1" fillId="4" borderId="0" xfId="0" applyFont="1" applyAlignment="1">
      <alignment wrapText="1"/>
    </xf>
    <xf numFmtId="0" fontId="1" fillId="0" borderId="12" xfId="0" applyFont="1" applyBorder="1" applyAlignment="1">
      <alignment wrapText="1"/>
    </xf>
    <xf numFmtId="0" fontId="1" fillId="0" borderId="9" xfId="0" applyFont="1" applyBorder="1" applyAlignment="1">
      <alignment wrapText="1"/>
    </xf>
    <xf numFmtId="164" fontId="2" fillId="0" borderId="2" xfId="0" applyNumberFormat="1" applyFont="1" applyBorder="1" applyAlignment="1">
      <alignment wrapText="1"/>
    </xf>
    <xf numFmtId="0" fontId="2" fillId="5" borderId="0" xfId="0" applyFont="1" applyAlignment="1">
      <alignment wrapText="1"/>
    </xf>
    <xf numFmtId="4" fontId="2" fillId="6" borderId="2" xfId="0" applyNumberFormat="1" applyFont="1" applyFill="1" applyBorder="1" applyAlignment="1">
      <alignment horizontal="center" vertical="center" wrapText="1"/>
    </xf>
    <xf numFmtId="0" fontId="2" fillId="7" borderId="0" xfId="0" applyFont="1" applyFill="1" applyAlignment="1">
      <alignment wrapText="1"/>
    </xf>
    <xf numFmtId="0" fontId="2" fillId="8" borderId="3" xfId="0" applyFont="1" applyFill="1" applyBorder="1" applyAlignment="1">
      <alignment horizontal="center" wrapText="1"/>
    </xf>
    <xf numFmtId="0" fontId="1" fillId="7" borderId="0" xfId="0" applyFont="1" applyAlignment="1">
      <alignment wrapText="1"/>
    </xf>
    <xf numFmtId="166" fontId="2" fillId="9" borderId="3" xfId="0" applyNumberFormat="1" applyFont="1" applyFill="1" applyBorder="1" applyAlignment="1">
      <alignment horizontal="center" wrapText="1"/>
    </xf>
    <xf numFmtId="0" fontId="1" fillId="0" borderId="0" xfId="0" applyFont="1" applyAlignment="1">
      <alignment horizontal="center" wrapText="1"/>
    </xf>
    <xf numFmtId="166" fontId="2" fillId="10" borderId="3" xfId="0" applyNumberFormat="1" applyFont="1" applyFill="1" applyBorder="1" applyAlignment="1">
      <alignment horizontal="center" wrapText="1"/>
    </xf>
    <xf numFmtId="165" fontId="1" fillId="0" borderId="0" xfId="0" applyNumberFormat="1" applyFont="1" applyAlignment="1">
      <alignment wrapText="1"/>
    </xf>
    <xf numFmtId="0" fontId="6" fillId="0" borderId="0" xfId="0" applyFont="1" applyAlignment="1">
      <alignment horizontal="left"/>
    </xf>
    <xf numFmtId="166" fontId="2" fillId="11" borderId="3" xfId="0" applyNumberFormat="1" applyFont="1" applyFill="1" applyBorder="1" applyAlignment="1">
      <alignment horizontal="center" wrapText="1"/>
    </xf>
    <xf numFmtId="165" fontId="1" fillId="0" borderId="0" xfId="0" applyNumberFormat="1" applyFont="1" applyAlignment="1">
      <alignment wrapText="1"/>
    </xf>
    <xf numFmtId="0" fontId="1" fillId="0" borderId="13" xfId="0" applyFont="1" applyBorder="1" applyAlignment="1">
      <alignment wrapText="1"/>
    </xf>
    <xf numFmtId="0" fontId="5" fillId="5" borderId="0" xfId="0" applyFont="1" applyAlignment="1">
      <alignment wrapText="1"/>
    </xf>
    <xf numFmtId="0" fontId="2" fillId="8" borderId="1" xfId="0" applyFont="1" applyBorder="1" applyAlignment="1">
      <alignment horizontal="center" wrapText="1"/>
    </xf>
    <xf numFmtId="0" fontId="7" fillId="8" borderId="1" xfId="0" applyFont="1" applyBorder="1" applyAlignment="1">
      <alignment horizontal="center" wrapText="1"/>
    </xf>
    <xf numFmtId="0" fontId="3" fillId="0" borderId="0" xfId="0" applyFont="1" applyAlignment="1">
      <alignment/>
    </xf>
    <xf numFmtId="0" fontId="8" fillId="0" borderId="0" xfId="0" applyFont="1" applyAlignment="1">
      <alignment/>
    </xf>
    <xf numFmtId="0" fontId="5" fillId="5" borderId="1" xfId="0" applyFont="1" applyBorder="1" applyAlignment="1">
      <alignment/>
    </xf>
    <xf numFmtId="0" fontId="0" fillId="12" borderId="1" xfId="0" applyFont="1" applyFill="1" applyBorder="1" applyAlignment="1">
      <alignment horizontal="center"/>
    </xf>
    <xf numFmtId="0" fontId="0" fillId="13" borderId="1" xfId="0" applyFont="1" applyFill="1" applyBorder="1" applyAlignment="1">
      <alignment horizontal="center"/>
    </xf>
    <xf numFmtId="0" fontId="1" fillId="3" borderId="5" xfId="0" applyFont="1" applyBorder="1" applyAlignment="1">
      <alignment wrapText="1"/>
    </xf>
    <xf numFmtId="0" fontId="0" fillId="0" borderId="9" xfId="0" applyFont="1" applyBorder="1" applyAlignment="1">
      <alignment/>
    </xf>
    <xf numFmtId="0" fontId="0" fillId="0" borderId="14" xfId="0" applyFont="1" applyBorder="1" applyAlignment="1">
      <alignment/>
    </xf>
    <xf numFmtId="0" fontId="5" fillId="14" borderId="1" xfId="0" applyFont="1" applyFill="1" applyBorder="1" applyAlignment="1">
      <alignment/>
    </xf>
    <xf numFmtId="0" fontId="1" fillId="0" borderId="1" xfId="0" applyFont="1" applyBorder="1" applyAlignment="1">
      <alignment wrapText="1"/>
    </xf>
    <xf numFmtId="0" fontId="0" fillId="15" borderId="1" xfId="0" applyFont="1" applyFill="1" applyBorder="1" applyAlignment="1">
      <alignment horizontal="center"/>
    </xf>
    <xf numFmtId="0" fontId="9" fillId="0" borderId="0" xfId="0" applyFont="1" applyAlignment="1">
      <alignment wrapText="1"/>
    </xf>
    <xf numFmtId="0" fontId="0" fillId="14" borderId="3" xfId="0" applyFont="1" applyBorder="1" applyAlignment="1">
      <alignment horizontal="right"/>
    </xf>
    <xf numFmtId="0" fontId="10" fillId="0" borderId="0" xfId="0" applyFont="1" applyAlignment="1">
      <alignment wrapText="1"/>
    </xf>
    <xf numFmtId="0" fontId="2" fillId="0" borderId="0" xfId="0" applyFont="1" applyAlignment="1">
      <alignment horizontal="center" wrapText="1"/>
    </xf>
    <xf numFmtId="167" fontId="1" fillId="0" borderId="0" xfId="0" applyNumberFormat="1" applyFont="1" applyAlignment="1">
      <alignment wrapText="1"/>
    </xf>
    <xf numFmtId="167" fontId="9" fillId="0" borderId="0" xfId="0" applyNumberFormat="1" applyFont="1" applyAlignment="1">
      <alignment wrapText="1"/>
    </xf>
    <xf numFmtId="0" fontId="1" fillId="0" borderId="2" xfId="0" applyFont="1" applyBorder="1" applyAlignment="1">
      <alignment wrapText="1"/>
    </xf>
    <xf numFmtId="0" fontId="1" fillId="7" borderId="0" xfId="0" applyFont="1" applyAlignment="1">
      <alignment wrapText="1"/>
    </xf>
    <xf numFmtId="0" fontId="1" fillId="0" borderId="0" xfId="0" applyFont="1" applyAlignment="1">
      <alignment horizontal="left" wrapText="1"/>
    </xf>
    <xf numFmtId="0" fontId="1" fillId="3" borderId="0" xfId="0" applyFont="1" applyAlignment="1">
      <alignment wrapText="1"/>
    </xf>
    <xf numFmtId="0" fontId="1" fillId="0" borderId="1" xfId="0" applyFont="1" applyBorder="1" applyAlignment="1">
      <alignment wrapText="1"/>
    </xf>
    <xf numFmtId="0" fontId="1" fillId="0" borderId="14" xfId="0" applyFont="1" applyBorder="1" applyAlignment="1">
      <alignment wrapText="1"/>
    </xf>
    <xf numFmtId="0" fontId="2" fillId="0" borderId="5" xfId="0" applyFont="1" applyBorder="1" applyAlignment="1">
      <alignment wrapText="1"/>
    </xf>
    <xf numFmtId="0" fontId="10" fillId="0" borderId="1" xfId="0" applyFont="1" applyBorder="1" applyAlignment="1">
      <alignment wrapText="1"/>
    </xf>
    <xf numFmtId="0" fontId="0" fillId="16" borderId="1" xfId="0" applyFont="1" applyFill="1" applyBorder="1" applyAlignment="1">
      <alignment horizontal="center"/>
    </xf>
    <xf numFmtId="0" fontId="1" fillId="0" borderId="4" xfId="0" applyFont="1" applyBorder="1" applyAlignment="1">
      <alignment wrapText="1"/>
    </xf>
    <xf numFmtId="4" fontId="2" fillId="6" borderId="1" xfId="0" applyNumberFormat="1" applyFont="1" applyBorder="1" applyAlignment="1">
      <alignment horizontal="center" vertical="center" wrapText="1"/>
    </xf>
    <xf numFmtId="166" fontId="2" fillId="9" borderId="1" xfId="0" applyNumberFormat="1" applyFont="1" applyBorder="1" applyAlignment="1">
      <alignment horizontal="center" wrapText="1"/>
    </xf>
    <xf numFmtId="0" fontId="7" fillId="9" borderId="3" xfId="0" applyFont="1" applyBorder="1" applyAlignment="1">
      <alignment horizontal="center" wrapText="1"/>
    </xf>
    <xf numFmtId="164" fontId="2" fillId="0" borderId="1" xfId="0" applyNumberFormat="1" applyFont="1" applyBorder="1" applyAlignment="1">
      <alignment wrapText="1"/>
    </xf>
    <xf numFmtId="0" fontId="5" fillId="16" borderId="0" xfId="0" applyFont="1" applyAlignment="1">
      <alignment horizontal="right" wrapText="1"/>
    </xf>
    <xf numFmtId="0" fontId="1" fillId="7" borderId="0" xfId="0" applyFont="1" applyAlignment="1">
      <alignment wrapText="1"/>
    </xf>
    <xf numFmtId="0" fontId="7" fillId="9" borderId="1" xfId="0" applyFont="1" applyBorder="1" applyAlignment="1">
      <alignment horizontal="center" wrapText="1"/>
    </xf>
    <xf numFmtId="3" fontId="5" fillId="16" borderId="0" xfId="0" applyNumberFormat="1" applyFont="1" applyAlignment="1">
      <alignment horizontal="left" wrapText="1"/>
    </xf>
    <xf numFmtId="4" fontId="2" fillId="6" borderId="1" xfId="0" applyNumberFormat="1" applyFont="1" applyBorder="1" applyAlignment="1">
      <alignment horizontal="center" vertical="center" wrapText="1"/>
    </xf>
    <xf numFmtId="0" fontId="11" fillId="0" borderId="0" xfId="0" applyFont="1" applyAlignment="1">
      <alignment wrapText="1"/>
    </xf>
    <xf numFmtId="0" fontId="2" fillId="8" borderId="11" xfId="0" applyFont="1" applyBorder="1" applyAlignment="1">
      <alignment horizontal="center" wrapText="1"/>
    </xf>
    <xf numFmtId="0" fontId="2" fillId="9" borderId="10" xfId="0" applyFont="1" applyBorder="1" applyAlignment="1">
      <alignment horizontal="center" wrapText="1"/>
    </xf>
    <xf numFmtId="0" fontId="0" fillId="16" borderId="1" xfId="0" applyFont="1" applyBorder="1" applyAlignment="1">
      <alignment horizontal="center"/>
    </xf>
    <xf numFmtId="0" fontId="0" fillId="14" borderId="3" xfId="0" applyFont="1" applyBorder="1" applyAlignment="1">
      <alignment horizontal="right"/>
    </xf>
    <xf numFmtId="0" fontId="0" fillId="14" borderId="11" xfId="0" applyFont="1" applyBorder="1" applyAlignment="1">
      <alignment horizontal="left"/>
    </xf>
    <xf numFmtId="0" fontId="2" fillId="0" borderId="4" xfId="0" applyFont="1" applyBorder="1" applyAlignment="1">
      <alignment wrapText="1"/>
    </xf>
    <xf numFmtId="164" fontId="5" fillId="17" borderId="3" xfId="0" applyNumberFormat="1" applyFont="1" applyFill="1" applyBorder="1" applyAlignment="1">
      <alignment horizontal="center"/>
    </xf>
    <xf numFmtId="0" fontId="1" fillId="0" borderId="5" xfId="0" applyFont="1" applyBorder="1" applyAlignment="1">
      <alignment wrapText="1"/>
    </xf>
    <xf numFmtId="0" fontId="10" fillId="0" borderId="1" xfId="0" applyFont="1" applyBorder="1" applyAlignment="1">
      <alignment wrapText="1"/>
    </xf>
    <xf numFmtId="14" fontId="1" fillId="0" borderId="1" xfId="0" applyNumberFormat="1" applyFont="1" applyBorder="1" applyAlignment="1">
      <alignment wrapText="1"/>
    </xf>
    <xf numFmtId="167" fontId="9" fillId="0" borderId="0" xfId="0" applyNumberFormat="1" applyFont="1" applyAlignment="1">
      <alignment wrapText="1"/>
    </xf>
    <xf numFmtId="0" fontId="1" fillId="0" borderId="8" xfId="0" applyFont="1" applyBorder="1" applyAlignment="1">
      <alignment wrapText="1"/>
    </xf>
    <xf numFmtId="167" fontId="1" fillId="0" borderId="0" xfId="0" applyNumberFormat="1" applyFont="1" applyAlignment="1">
      <alignment wrapText="1"/>
    </xf>
    <xf numFmtId="0" fontId="0" fillId="0" borderId="1" xfId="0" applyFont="1" applyBorder="1" applyAlignment="1">
      <alignment/>
    </xf>
    <xf numFmtId="14" fontId="1" fillId="0" borderId="0" xfId="0" applyNumberFormat="1" applyFont="1" applyAlignment="1">
      <alignment wrapText="1"/>
    </xf>
    <xf numFmtId="0" fontId="9" fillId="0" borderId="0" xfId="0" applyFont="1" applyAlignment="1">
      <alignment wrapText="1"/>
    </xf>
    <xf numFmtId="0" fontId="11" fillId="0" borderId="1" xfId="0" applyFont="1" applyBorder="1" applyAlignment="1">
      <alignment wrapText="1"/>
    </xf>
    <xf numFmtId="0" fontId="1" fillId="0" borderId="0" xfId="0" applyFont="1" applyAlignment="1">
      <alignment wrapText="1"/>
    </xf>
    <xf numFmtId="0" fontId="8" fillId="0" borderId="0" xfId="0" applyFont="1" applyAlignment="1">
      <alignment/>
    </xf>
    <xf numFmtId="0" fontId="8" fillId="0" borderId="0" xfId="0" applyFont="1" applyAlignment="1">
      <alignment/>
    </xf>
    <xf numFmtId="0" fontId="0" fillId="0" borderId="14" xfId="0" applyFont="1" applyBorder="1" applyAlignment="1">
      <alignment wrapText="1"/>
    </xf>
    <xf numFmtId="0" fontId="11" fillId="0" borderId="1" xfId="0" applyFont="1" applyBorder="1" applyAlignment="1">
      <alignment/>
    </xf>
    <xf numFmtId="0" fontId="1" fillId="0" borderId="12" xfId="0" applyFont="1" applyBorder="1" applyAlignment="1">
      <alignment wrapText="1"/>
    </xf>
    <xf numFmtId="0" fontId="1" fillId="0" borderId="7" xfId="0" applyFont="1" applyBorder="1" applyAlignment="1">
      <alignment wrapText="1"/>
    </xf>
    <xf numFmtId="165" fontId="5" fillId="0" borderId="0" xfId="0" applyNumberFormat="1" applyFont="1" applyAlignment="1">
      <alignment wrapText="1"/>
    </xf>
    <xf numFmtId="0" fontId="5" fillId="0" borderId="1" xfId="0" applyFont="1" applyBorder="1" applyAlignment="1">
      <alignment horizontal="center"/>
    </xf>
    <xf numFmtId="165" fontId="5" fillId="0" borderId="0" xfId="0" applyNumberFormat="1" applyFont="1" applyAlignment="1">
      <alignment wrapText="1"/>
    </xf>
    <xf numFmtId="164" fontId="2" fillId="0" borderId="2" xfId="0" applyNumberFormat="1" applyFont="1" applyBorder="1" applyAlignment="1">
      <alignment wrapText="1"/>
    </xf>
    <xf numFmtId="0" fontId="5" fillId="5" borderId="0" xfId="0" applyFont="1" applyAlignment="1">
      <alignment wrapText="1"/>
    </xf>
    <xf numFmtId="168" fontId="2" fillId="0" borderId="2" xfId="0" applyNumberFormat="1" applyFont="1" applyBorder="1" applyAlignment="1">
      <alignment wrapText="1"/>
    </xf>
    <xf numFmtId="0" fontId="0" fillId="0" borderId="1" xfId="0" applyFont="1" applyBorder="1" applyAlignment="1">
      <alignment horizontal="left"/>
    </xf>
    <xf numFmtId="0" fontId="0" fillId="0" borderId="0" xfId="0" applyFont="1" applyAlignment="1">
      <alignment vertical="center"/>
    </xf>
    <xf numFmtId="169" fontId="0" fillId="0" borderId="1" xfId="0" applyNumberFormat="1" applyFont="1" applyBorder="1" applyAlignment="1">
      <alignment horizontal="center"/>
    </xf>
    <xf numFmtId="0" fontId="5" fillId="5" borderId="0" xfId="0" applyFont="1" applyAlignment="1">
      <alignment wrapText="1"/>
    </xf>
    <xf numFmtId="166" fontId="2" fillId="18" borderId="3" xfId="0" applyNumberFormat="1" applyFont="1" applyFill="1" applyBorder="1" applyAlignment="1">
      <alignment horizontal="center" wrapText="1"/>
    </xf>
    <xf numFmtId="0" fontId="0" fillId="0" borderId="5" xfId="0" applyFont="1" applyBorder="1" applyAlignment="1">
      <alignment wrapText="1"/>
    </xf>
    <xf numFmtId="166" fontId="2" fillId="10" borderId="1" xfId="0" applyNumberFormat="1" applyFont="1" applyBorder="1" applyAlignment="1">
      <alignment horizontal="center" wrapText="1"/>
    </xf>
    <xf numFmtId="0" fontId="12" fillId="0" borderId="3" xfId="0" applyFont="1" applyBorder="1" applyAlignment="1">
      <alignment horizontal="center"/>
    </xf>
    <xf numFmtId="0" fontId="6" fillId="0" borderId="11" xfId="0" applyFont="1" applyBorder="1" applyAlignment="1">
      <alignment horizontal="center"/>
    </xf>
    <xf numFmtId="0" fontId="7" fillId="10" borderId="1" xfId="0" applyFont="1" applyBorder="1" applyAlignment="1">
      <alignment horizontal="center" wrapText="1"/>
    </xf>
    <xf numFmtId="0" fontId="13" fillId="0" borderId="1" xfId="0" applyFont="1" applyBorder="1" applyAlignment="1">
      <alignment horizontal="center"/>
    </xf>
    <xf numFmtId="166" fontId="2" fillId="11" borderId="1" xfId="0" applyNumberFormat="1" applyFont="1" applyBorder="1" applyAlignment="1">
      <alignment horizontal="center" wrapText="1"/>
    </xf>
    <xf numFmtId="0" fontId="11" fillId="0" borderId="1" xfId="0" applyFont="1" applyBorder="1" applyAlignment="1">
      <alignment wrapText="1"/>
    </xf>
    <xf numFmtId="0" fontId="7" fillId="11" borderId="1" xfId="0" applyFont="1" applyBorder="1" applyAlignment="1">
      <alignment horizontal="center" wrapText="1"/>
    </xf>
    <xf numFmtId="166" fontId="2" fillId="18" borderId="1" xfId="0" applyNumberFormat="1" applyFont="1" applyBorder="1" applyAlignment="1">
      <alignment horizontal="center" wrapText="1"/>
    </xf>
    <xf numFmtId="0" fontId="2" fillId="9" borderId="1" xfId="0" applyFont="1" applyBorder="1" applyAlignment="1">
      <alignment horizontal="center" wrapText="1"/>
    </xf>
    <xf numFmtId="0" fontId="0" fillId="17" borderId="10" xfId="0" applyFont="1" applyBorder="1" applyAlignment="1">
      <alignment horizontal="center"/>
    </xf>
    <xf numFmtId="0" fontId="2" fillId="10" borderId="1" xfId="0" applyFont="1" applyBorder="1" applyAlignment="1">
      <alignment horizontal="center" wrapText="1"/>
    </xf>
    <xf numFmtId="0" fontId="0" fillId="17" borderId="11" xfId="0" applyFont="1" applyBorder="1" applyAlignment="1">
      <alignment horizontal="center"/>
    </xf>
    <xf numFmtId="14" fontId="1" fillId="0" borderId="1" xfId="0" applyNumberFormat="1" applyFont="1" applyBorder="1" applyAlignment="1">
      <alignment wrapText="1"/>
    </xf>
    <xf numFmtId="0" fontId="2" fillId="11" borderId="1" xfId="0" applyFont="1" applyBorder="1" applyAlignment="1">
      <alignment horizontal="center" wrapText="1"/>
    </xf>
    <xf numFmtId="0" fontId="0" fillId="0" borderId="1" xfId="0" applyFont="1" applyBorder="1" applyAlignment="1">
      <alignment wrapText="1"/>
    </xf>
    <xf numFmtId="0" fontId="1" fillId="17" borderId="1" xfId="0" applyFont="1" applyBorder="1" applyAlignment="1">
      <alignment vertical="top" wrapText="1"/>
    </xf>
    <xf numFmtId="0" fontId="1" fillId="0" borderId="1" xfId="0" applyFont="1" applyBorder="1" applyAlignment="1">
      <alignment wrapText="1"/>
    </xf>
    <xf numFmtId="0" fontId="1" fillId="16" borderId="1" xfId="0" applyFont="1" applyBorder="1" applyAlignment="1">
      <alignment wrapText="1"/>
    </xf>
    <xf numFmtId="4" fontId="1" fillId="6" borderId="1" xfId="0" applyNumberFormat="1" applyFont="1" applyBorder="1" applyAlignment="1">
      <alignment wrapText="1"/>
    </xf>
    <xf numFmtId="0" fontId="5" fillId="16" borderId="1" xfId="0" applyFont="1" applyBorder="1" applyAlignment="1">
      <alignment/>
    </xf>
    <xf numFmtId="0" fontId="0" fillId="14" borderId="11" xfId="0" applyFont="1" applyBorder="1" applyAlignment="1">
      <alignment horizontal="left"/>
    </xf>
    <xf numFmtId="0" fontId="5" fillId="14" borderId="1" xfId="0" applyFont="1" applyBorder="1" applyAlignment="1">
      <alignment/>
    </xf>
    <xf numFmtId="0" fontId="0" fillId="12" borderId="1" xfId="0" applyFont="1" applyBorder="1" applyAlignment="1">
      <alignment/>
    </xf>
    <xf numFmtId="9" fontId="0" fillId="12" borderId="1" xfId="0" applyNumberFormat="1" applyFont="1" applyBorder="1" applyAlignment="1">
      <alignment/>
    </xf>
    <xf numFmtId="0" fontId="2" fillId="0" borderId="11" xfId="0" applyFont="1" applyBorder="1" applyAlignment="1">
      <alignment horizontal="center" wrapText="1"/>
    </xf>
    <xf numFmtId="0" fontId="1" fillId="0" borderId="8" xfId="0" applyFont="1" applyBorder="1" applyAlignment="1">
      <alignment wrapText="1"/>
    </xf>
    <xf numFmtId="0" fontId="1" fillId="8" borderId="1" xfId="0" applyFont="1" applyBorder="1" applyAlignment="1">
      <alignment horizontal="left" wrapText="1"/>
    </xf>
    <xf numFmtId="170" fontId="0" fillId="0" borderId="1" xfId="0" applyNumberFormat="1" applyFont="1" applyBorder="1" applyAlignment="1">
      <alignment/>
    </xf>
    <xf numFmtId="0" fontId="1" fillId="8" borderId="1" xfId="0" applyFont="1" applyBorder="1" applyAlignment="1">
      <alignment horizontal="center" wrapText="1"/>
    </xf>
    <xf numFmtId="0" fontId="4" fillId="3" borderId="0" xfId="0" applyFont="1" applyAlignment="1">
      <alignment wrapText="1"/>
    </xf>
    <xf numFmtId="166" fontId="1" fillId="9" borderId="1" xfId="0" applyNumberFormat="1" applyFont="1" applyBorder="1" applyAlignment="1">
      <alignment horizontal="left" wrapText="1"/>
    </xf>
    <xf numFmtId="0" fontId="1" fillId="9" borderId="3" xfId="0" applyFont="1" applyBorder="1" applyAlignment="1">
      <alignment wrapText="1"/>
    </xf>
    <xf numFmtId="164" fontId="4" fillId="3" borderId="0" xfId="0" applyNumberFormat="1" applyFont="1" applyAlignment="1">
      <alignment wrapText="1"/>
    </xf>
    <xf numFmtId="0" fontId="1" fillId="0" borderId="11" xfId="0" applyFont="1" applyBorder="1" applyAlignment="1">
      <alignment wrapText="1"/>
    </xf>
    <xf numFmtId="171" fontId="1" fillId="0" borderId="1" xfId="0" applyNumberFormat="1" applyFont="1" applyBorder="1" applyAlignment="1">
      <alignment wrapText="1"/>
    </xf>
    <xf numFmtId="0" fontId="1" fillId="0" borderId="14" xfId="0" applyFont="1" applyBorder="1" applyAlignment="1">
      <alignment wrapText="1"/>
    </xf>
    <xf numFmtId="0" fontId="14" fillId="8" borderId="1" xfId="0" applyFont="1" applyBorder="1" applyAlignment="1">
      <alignment horizontal="center" wrapText="1"/>
    </xf>
    <xf numFmtId="0" fontId="1" fillId="8" borderId="1" xfId="0" applyFont="1" applyBorder="1" applyAlignment="1">
      <alignment horizontal="left" wrapText="1"/>
    </xf>
    <xf numFmtId="0" fontId="14" fillId="9" borderId="3" xfId="0" applyFont="1" applyBorder="1" applyAlignment="1">
      <alignment wrapText="1"/>
    </xf>
    <xf numFmtId="0" fontId="1" fillId="16" borderId="1" xfId="0" applyFont="1" applyBorder="1" applyAlignment="1">
      <alignment wrapText="1"/>
    </xf>
    <xf numFmtId="0" fontId="14" fillId="9" borderId="1" xfId="0" applyFont="1" applyBorder="1" applyAlignment="1">
      <alignment wrapText="1"/>
    </xf>
    <xf numFmtId="170" fontId="0" fillId="19" borderId="1" xfId="0" applyNumberFormat="1" applyFont="1" applyFill="1" applyBorder="1" applyAlignment="1">
      <alignment/>
    </xf>
    <xf numFmtId="0" fontId="1" fillId="9" borderId="1" xfId="0" applyFont="1" applyBorder="1" applyAlignment="1">
      <alignment wrapText="1"/>
    </xf>
    <xf numFmtId="0" fontId="2" fillId="0" borderId="0" xfId="0" applyFont="1" applyAlignment="1">
      <alignment wrapText="1"/>
    </xf>
    <xf numFmtId="0" fontId="5" fillId="0" borderId="0" xfId="0" applyFont="1" applyAlignment="1">
      <alignment wrapText="1"/>
    </xf>
    <xf numFmtId="166" fontId="1" fillId="10" borderId="1" xfId="0" applyNumberFormat="1" applyFont="1" applyBorder="1" applyAlignment="1">
      <alignment horizontal="left" wrapText="1"/>
    </xf>
    <xf numFmtId="0" fontId="5" fillId="0" borderId="0" xfId="0" applyFont="1" applyAlignment="1">
      <alignment horizontal="left" wrapText="1"/>
    </xf>
    <xf numFmtId="0" fontId="14" fillId="10" borderId="1" xfId="0" applyFont="1" applyBorder="1" applyAlignment="1">
      <alignment wrapText="1"/>
    </xf>
    <xf numFmtId="0" fontId="7" fillId="18" borderId="3" xfId="0" applyFont="1" applyBorder="1" applyAlignment="1">
      <alignment horizontal="center" wrapText="1"/>
    </xf>
    <xf numFmtId="0" fontId="6" fillId="0" borderId="1" xfId="0" applyFont="1" applyBorder="1" applyAlignment="1">
      <alignment horizontal="center"/>
    </xf>
    <xf numFmtId="168" fontId="1" fillId="0" borderId="1" xfId="0" applyNumberFormat="1" applyFont="1" applyBorder="1" applyAlignment="1">
      <alignment wrapText="1"/>
    </xf>
    <xf numFmtId="169" fontId="1" fillId="0" borderId="1" xfId="0" applyNumberFormat="1" applyFont="1" applyBorder="1" applyAlignment="1">
      <alignment wrapText="1"/>
    </xf>
    <xf numFmtId="164" fontId="6" fillId="0" borderId="1" xfId="0" applyNumberFormat="1" applyFont="1" applyBorder="1" applyAlignment="1">
      <alignment horizontal="center"/>
    </xf>
    <xf numFmtId="172" fontId="0" fillId="19" borderId="1" xfId="0" applyNumberFormat="1" applyFont="1" applyBorder="1" applyAlignment="1">
      <alignment/>
    </xf>
    <xf numFmtId="0" fontId="1" fillId="10" borderId="1" xfId="0" applyFont="1" applyBorder="1" applyAlignment="1">
      <alignment wrapText="1"/>
    </xf>
    <xf numFmtId="0" fontId="5" fillId="0" borderId="0" xfId="0" applyFont="1" applyAlignment="1">
      <alignment wrapText="1"/>
    </xf>
    <xf numFmtId="166" fontId="1" fillId="11" borderId="1" xfId="0" applyNumberFormat="1" applyFont="1" applyBorder="1" applyAlignment="1">
      <alignment horizontal="left" wrapText="1"/>
    </xf>
    <xf numFmtId="0" fontId="5" fillId="0" borderId="0" xfId="0" applyFont="1" applyAlignment="1">
      <alignment vertical="center"/>
    </xf>
    <xf numFmtId="0" fontId="14" fillId="11" borderId="1" xfId="0" applyFont="1" applyBorder="1" applyAlignment="1">
      <alignment wrapText="1"/>
    </xf>
    <xf numFmtId="0" fontId="1" fillId="11" borderId="1" xfId="0" applyFont="1" applyBorder="1" applyAlignment="1">
      <alignment wrapText="1"/>
    </xf>
    <xf numFmtId="0" fontId="1" fillId="17" borderId="1" xfId="0" applyFont="1" applyBorder="1" applyAlignment="1">
      <alignment wrapText="1"/>
    </xf>
    <xf numFmtId="14" fontId="1" fillId="0" borderId="4" xfId="0" applyNumberFormat="1" applyFont="1" applyBorder="1" applyAlignment="1">
      <alignment wrapText="1"/>
    </xf>
    <xf numFmtId="0" fontId="5" fillId="17" borderId="0" xfId="0" applyFont="1" applyAlignment="1">
      <alignment horizontal="right" wrapText="1"/>
    </xf>
    <xf numFmtId="0" fontId="14" fillId="9" borderId="2" xfId="0" applyFont="1" applyBorder="1" applyAlignment="1">
      <alignment wrapText="1"/>
    </xf>
    <xf numFmtId="3" fontId="1" fillId="0" borderId="0" xfId="0" applyNumberFormat="1" applyFont="1" applyAlignment="1">
      <alignment wrapText="1"/>
    </xf>
    <xf numFmtId="166" fontId="1" fillId="10" borderId="2" xfId="0" applyNumberFormat="1" applyFont="1" applyBorder="1" applyAlignment="1">
      <alignment horizontal="left" wrapText="1"/>
    </xf>
    <xf numFmtId="166" fontId="1" fillId="18" borderId="1" xfId="0" applyNumberFormat="1" applyFont="1" applyBorder="1" applyAlignment="1">
      <alignment horizontal="left" wrapText="1"/>
    </xf>
    <xf numFmtId="164" fontId="0" fillId="0" borderId="1" xfId="0" applyNumberFormat="1" applyFont="1" applyBorder="1" applyAlignment="1">
      <alignment horizontal="center" wrapText="1"/>
    </xf>
    <xf numFmtId="0" fontId="14" fillId="18" borderId="3" xfId="0" applyFont="1" applyBorder="1" applyAlignment="1">
      <alignment wrapText="1"/>
    </xf>
    <xf numFmtId="168" fontId="1" fillId="0" borderId="1" xfId="0" applyNumberFormat="1" applyFont="1" applyBorder="1" applyAlignment="1">
      <alignment wrapText="1"/>
    </xf>
    <xf numFmtId="0" fontId="1" fillId="8" borderId="1" xfId="0" applyFont="1" applyBorder="1" applyAlignment="1">
      <alignment horizontal="center" wrapText="1"/>
    </xf>
    <xf numFmtId="0" fontId="11" fillId="17" borderId="1" xfId="0" applyFont="1" applyBorder="1" applyAlignment="1">
      <alignment vertical="top" wrapText="1"/>
    </xf>
    <xf numFmtId="0" fontId="1" fillId="9" borderId="3" xfId="0" applyFont="1" applyBorder="1" applyAlignment="1">
      <alignment wrapText="1"/>
    </xf>
    <xf numFmtId="0" fontId="0" fillId="0" borderId="4" xfId="0" applyFont="1" applyBorder="1" applyAlignment="1">
      <alignment wrapText="1"/>
    </xf>
    <xf numFmtId="0" fontId="14" fillId="10" borderId="2" xfId="0" applyFont="1" applyBorder="1" applyAlignment="1">
      <alignment wrapText="1"/>
    </xf>
    <xf numFmtId="0" fontId="15" fillId="0" borderId="2" xfId="0" applyFont="1" applyBorder="1" applyAlignment="1">
      <alignment horizontal="center"/>
    </xf>
    <xf numFmtId="0" fontId="15" fillId="0" borderId="2" xfId="0" applyFont="1" applyBorder="1" applyAlignment="1">
      <alignment wrapText="1"/>
    </xf>
    <xf numFmtId="0" fontId="1" fillId="10" borderId="2" xfId="0" applyFont="1" applyBorder="1" applyAlignment="1">
      <alignment wrapText="1"/>
    </xf>
    <xf numFmtId="0" fontId="15" fillId="0" borderId="2" xfId="0" applyFont="1" applyBorder="1" applyAlignment="1">
      <alignment horizontal="center"/>
    </xf>
    <xf numFmtId="164" fontId="15" fillId="0" borderId="2" xfId="0" applyNumberFormat="1" applyFont="1" applyBorder="1" applyAlignment="1">
      <alignment horizontal="center"/>
    </xf>
    <xf numFmtId="166" fontId="1" fillId="11" borderId="2" xfId="0" applyNumberFormat="1" applyFont="1" applyBorder="1" applyAlignment="1">
      <alignment horizontal="left" wrapText="1"/>
    </xf>
    <xf numFmtId="0" fontId="16" fillId="0" borderId="2" xfId="0" applyFont="1" applyBorder="1" applyAlignment="1">
      <alignment wrapText="1"/>
    </xf>
    <xf numFmtId="164" fontId="0" fillId="0" borderId="2" xfId="0" applyNumberFormat="1" applyFont="1" applyBorder="1" applyAlignment="1">
      <alignment horizontal="center"/>
    </xf>
    <xf numFmtId="0" fontId="15" fillId="0" borderId="15" xfId="0" applyFont="1" applyBorder="1" applyAlignment="1">
      <alignment horizontal="center"/>
    </xf>
    <xf numFmtId="0" fontId="15" fillId="0" borderId="15" xfId="0" applyFont="1" applyBorder="1" applyAlignment="1">
      <alignment wrapText="1"/>
    </xf>
    <xf numFmtId="0" fontId="14" fillId="11" borderId="2" xfId="0" applyFont="1" applyBorder="1" applyAlignment="1">
      <alignment wrapText="1"/>
    </xf>
    <xf numFmtId="0" fontId="17" fillId="0" borderId="15" xfId="0" applyFont="1" applyBorder="1" applyAlignment="1">
      <alignment horizontal="center"/>
    </xf>
    <xf numFmtId="0" fontId="1" fillId="11" borderId="2" xfId="0" applyFont="1" applyBorder="1" applyAlignment="1">
      <alignment wrapText="1"/>
    </xf>
    <xf numFmtId="0" fontId="11" fillId="17" borderId="1" xfId="0" applyFont="1" applyBorder="1" applyAlignment="1">
      <alignment wrapText="1"/>
    </xf>
    <xf numFmtId="164" fontId="15" fillId="0" borderId="15" xfId="0" applyNumberFormat="1" applyFont="1" applyBorder="1" applyAlignment="1">
      <alignment horizontal="center"/>
    </xf>
    <xf numFmtId="0" fontId="1" fillId="0" borderId="1" xfId="0" applyFont="1" applyBorder="1" applyAlignment="1">
      <alignment horizontal="left" wrapText="1"/>
    </xf>
    <xf numFmtId="0" fontId="0" fillId="0" borderId="15" xfId="0" applyFont="1" applyBorder="1" applyAlignment="1">
      <alignment wrapText="1"/>
    </xf>
    <xf numFmtId="164" fontId="0" fillId="0" borderId="15" xfId="0" applyNumberFormat="1" applyFont="1" applyBorder="1" applyAlignment="1">
      <alignment horizontal="center"/>
    </xf>
    <xf numFmtId="0" fontId="15" fillId="0" borderId="15" xfId="0" applyFont="1" applyBorder="1" applyAlignment="1">
      <alignment horizontal="center"/>
    </xf>
    <xf numFmtId="0" fontId="14" fillId="9" borderId="13" xfId="0" applyFont="1" applyBorder="1" applyAlignment="1">
      <alignment wrapText="1"/>
    </xf>
    <xf numFmtId="0" fontId="14" fillId="11" borderId="1" xfId="0" applyFont="1" applyBorder="1" applyAlignment="1">
      <alignment wrapText="1"/>
    </xf>
    <xf numFmtId="166" fontId="1" fillId="10" borderId="13" xfId="0" applyNumberFormat="1" applyFont="1" applyBorder="1" applyAlignment="1">
      <alignment horizontal="left" wrapText="1"/>
    </xf>
    <xf numFmtId="164" fontId="1" fillId="0" borderId="6" xfId="0" applyNumberFormat="1" applyFont="1" applyBorder="1" applyAlignment="1">
      <alignment wrapText="1"/>
    </xf>
    <xf numFmtId="0" fontId="14" fillId="10" borderId="13" xfId="0" applyFont="1" applyBorder="1" applyAlignment="1">
      <alignment wrapText="1"/>
    </xf>
    <xf numFmtId="164" fontId="1" fillId="0" borderId="0" xfId="0" applyNumberFormat="1" applyFont="1" applyAlignment="1">
      <alignment wrapText="1"/>
    </xf>
    <xf numFmtId="0" fontId="14" fillId="18" borderId="3" xfId="0" applyFont="1" applyBorder="1" applyAlignment="1">
      <alignment wrapText="1"/>
    </xf>
    <xf numFmtId="164" fontId="15" fillId="0" borderId="15" xfId="0" applyNumberFormat="1" applyFont="1" applyBorder="1" applyAlignment="1">
      <alignment horizontal="center"/>
    </xf>
    <xf numFmtId="0" fontId="1" fillId="10" borderId="13" xfId="0" applyFont="1" applyBorder="1" applyAlignment="1">
      <alignment wrapText="1"/>
    </xf>
    <xf numFmtId="0" fontId="0" fillId="0" borderId="15" xfId="0" applyFont="1" applyBorder="1" applyAlignment="1">
      <alignment wrapText="1"/>
    </xf>
    <xf numFmtId="164" fontId="0" fillId="0" borderId="15" xfId="0" applyNumberFormat="1" applyFont="1" applyBorder="1" applyAlignment="1">
      <alignment horizontal="center"/>
    </xf>
    <xf numFmtId="166" fontId="1" fillId="11" borderId="13" xfId="0" applyNumberFormat="1" applyFont="1" applyBorder="1" applyAlignment="1">
      <alignment horizontal="left" wrapText="1"/>
    </xf>
    <xf numFmtId="0" fontId="0" fillId="0" borderId="3" xfId="0" applyFont="1" applyBorder="1" applyAlignment="1">
      <alignment horizontal="center"/>
    </xf>
    <xf numFmtId="0" fontId="14" fillId="8" borderId="1" xfId="0" applyFont="1" applyBorder="1" applyAlignment="1">
      <alignment horizontal="center" wrapText="1"/>
    </xf>
    <xf numFmtId="0" fontId="6" fillId="0" borderId="3" xfId="0" applyFont="1" applyBorder="1" applyAlignment="1">
      <alignment horizontal="center"/>
    </xf>
    <xf numFmtId="0" fontId="14" fillId="9" borderId="3" xfId="0" applyFont="1" applyBorder="1" applyAlignment="1">
      <alignment wrapText="1"/>
    </xf>
    <xf numFmtId="0" fontId="6" fillId="0" borderId="10" xfId="0" applyFont="1" applyBorder="1" applyAlignment="1">
      <alignment horizontal="center"/>
    </xf>
    <xf numFmtId="164" fontId="6" fillId="0" borderId="11" xfId="0" applyNumberFormat="1" applyFont="1" applyBorder="1" applyAlignment="1">
      <alignment horizontal="center"/>
    </xf>
    <xf numFmtId="0" fontId="14" fillId="11" borderId="13" xfId="0" applyFont="1" applyBorder="1" applyAlignment="1">
      <alignment wrapText="1"/>
    </xf>
    <xf numFmtId="0" fontId="18" fillId="0" borderId="2" xfId="0" applyFont="1" applyBorder="1" applyAlignment="1">
      <alignment horizontal="left"/>
    </xf>
    <xf numFmtId="0" fontId="1" fillId="11" borderId="13" xfId="0" applyFont="1" applyBorder="1" applyAlignment="1">
      <alignment wrapText="1"/>
    </xf>
    <xf numFmtId="0" fontId="13" fillId="0" borderId="2" xfId="0" applyFont="1" applyBorder="1" applyAlignment="1">
      <alignment wrapText="1"/>
    </xf>
    <xf numFmtId="0" fontId="13" fillId="0" borderId="2" xfId="0" applyFont="1" applyBorder="1" applyAlignment="1">
      <alignment wrapText="1"/>
    </xf>
    <xf numFmtId="0" fontId="16" fillId="0" borderId="2" xfId="0" applyFont="1" applyBorder="1" applyAlignment="1">
      <alignment horizontal="center" wrapText="1"/>
    </xf>
    <xf numFmtId="164" fontId="16" fillId="0" borderId="2" xfId="0" applyNumberFormat="1" applyFont="1" applyBorder="1" applyAlignment="1">
      <alignment horizontal="center"/>
    </xf>
    <xf numFmtId="0" fontId="16" fillId="0" borderId="15" xfId="0" applyFont="1" applyBorder="1" applyAlignment="1">
      <alignment horizontal="center"/>
    </xf>
    <xf numFmtId="0" fontId="16" fillId="0" borderId="15" xfId="0" applyFont="1" applyBorder="1" applyAlignment="1">
      <alignment wrapText="1"/>
    </xf>
    <xf numFmtId="0" fontId="16" fillId="0" borderId="15" xfId="0" applyFont="1" applyBorder="1" applyAlignment="1">
      <alignment horizontal="center" wrapText="1"/>
    </xf>
    <xf numFmtId="0" fontId="8" fillId="0" borderId="10" xfId="0" applyFont="1" applyBorder="1" applyAlignment="1">
      <alignment/>
    </xf>
    <xf numFmtId="0" fontId="8" fillId="0" borderId="8" xfId="0" applyFont="1" applyBorder="1" applyAlignment="1">
      <alignment/>
    </xf>
    <xf numFmtId="164" fontId="10" fillId="0" borderId="1" xfId="0" applyNumberFormat="1" applyFont="1" applyBorder="1" applyAlignment="1">
      <alignment wrapText="1"/>
    </xf>
    <xf numFmtId="0" fontId="3" fillId="0" borderId="8" xfId="0" applyFont="1" applyBorder="1" applyAlignment="1">
      <alignment/>
    </xf>
    <xf numFmtId="4" fontId="10" fillId="6" borderId="1" xfId="0" applyNumberFormat="1" applyFont="1" applyBorder="1" applyAlignment="1">
      <alignment wrapText="1"/>
    </xf>
    <xf numFmtId="0" fontId="10" fillId="8" borderId="1" xfId="0" applyFont="1" applyBorder="1" applyAlignment="1">
      <alignment horizontal="left" wrapText="1"/>
    </xf>
    <xf numFmtId="0" fontId="14" fillId="10" borderId="1" xfId="0" applyFont="1" applyBorder="1" applyAlignment="1">
      <alignment wrapText="1"/>
    </xf>
    <xf numFmtId="0" fontId="10" fillId="8" borderId="1" xfId="0" applyFont="1" applyBorder="1" applyAlignment="1">
      <alignment horizontal="center" wrapText="1"/>
    </xf>
    <xf numFmtId="0" fontId="14" fillId="10" borderId="1" xfId="0" applyFont="1" applyBorder="1" applyAlignment="1">
      <alignment wrapText="1"/>
    </xf>
    <xf numFmtId="166" fontId="10" fillId="9" borderId="1" xfId="0" applyNumberFormat="1" applyFont="1" applyBorder="1" applyAlignment="1">
      <alignment horizontal="left" wrapText="1"/>
    </xf>
    <xf numFmtId="0" fontId="10" fillId="9" borderId="3" xfId="0" applyFont="1" applyBorder="1" applyAlignment="1">
      <alignment wrapText="1"/>
    </xf>
    <xf numFmtId="0" fontId="10" fillId="0" borderId="11" xfId="0" applyFont="1" applyBorder="1" applyAlignment="1">
      <alignment wrapText="1"/>
    </xf>
    <xf numFmtId="164" fontId="16" fillId="0" borderId="15" xfId="0" applyNumberFormat="1" applyFont="1" applyBorder="1" applyAlignment="1">
      <alignment horizontal="center"/>
    </xf>
    <xf numFmtId="0" fontId="14" fillId="8" borderId="1" xfId="0" applyFont="1" applyBorder="1" applyAlignment="1">
      <alignment horizontal="center" wrapText="1"/>
    </xf>
    <xf numFmtId="0" fontId="19" fillId="0" borderId="15" xfId="0" applyFont="1" applyBorder="1" applyAlignment="1">
      <alignment horizontal="center" wrapText="1"/>
    </xf>
    <xf numFmtId="166" fontId="1" fillId="9" borderId="1" xfId="0" applyNumberFormat="1" applyFont="1" applyBorder="1" applyAlignment="1">
      <alignment horizontal="left" wrapText="1"/>
    </xf>
    <xf numFmtId="0" fontId="16" fillId="0" borderId="15" xfId="0" applyFont="1" applyBorder="1" applyAlignment="1">
      <alignment horizontal="center"/>
    </xf>
    <xf numFmtId="0" fontId="14" fillId="9" borderId="3" xfId="0" applyFont="1" applyBorder="1" applyAlignment="1">
      <alignment wrapText="1"/>
    </xf>
    <xf numFmtId="0" fontId="13" fillId="0" borderId="15" xfId="0" applyFont="1" applyBorder="1" applyAlignment="1">
      <alignment wrapText="1"/>
    </xf>
    <xf numFmtId="0" fontId="13" fillId="0" borderId="15" xfId="0" applyFont="1" applyBorder="1" applyAlignment="1">
      <alignment wrapText="1"/>
    </xf>
    <xf numFmtId="0" fontId="20" fillId="0" borderId="15" xfId="0" applyFont="1" applyBorder="1" applyAlignment="1">
      <alignment wrapText="1"/>
    </xf>
    <xf numFmtId="0" fontId="18" fillId="0" borderId="15" xfId="0" applyFont="1" applyBorder="1" applyAlignment="1">
      <alignment horizontal="center"/>
    </xf>
    <xf numFmtId="164" fontId="17" fillId="0" borderId="15" xfId="0" applyNumberFormat="1" applyFont="1" applyBorder="1" applyAlignment="1">
      <alignment horizontal="center"/>
    </xf>
    <xf numFmtId="164" fontId="15" fillId="0" borderId="15" xfId="0" applyNumberFormat="1" applyFont="1" applyBorder="1" applyAlignment="1">
      <alignment/>
    </xf>
    <xf numFmtId="0" fontId="15" fillId="0" borderId="13" xfId="0" applyFont="1" applyBorder="1" applyAlignment="1">
      <alignment horizontal="center"/>
    </xf>
    <xf numFmtId="0" fontId="15" fillId="0" borderId="13" xfId="0" applyFont="1" applyBorder="1" applyAlignment="1">
      <alignment wrapText="1"/>
    </xf>
    <xf numFmtId="164" fontId="15" fillId="0" borderId="13" xfId="0" applyNumberFormat="1" applyFont="1" applyBorder="1" applyAlignment="1">
      <alignment/>
    </xf>
    <xf numFmtId="0" fontId="0" fillId="0" borderId="8" xfId="0" applyFont="1" applyBorder="1" applyAlignment="1">
      <alignment wrapText="1"/>
    </xf>
    <xf numFmtId="0" fontId="0" fillId="0" borderId="15" xfId="0" applyFont="1" applyBorder="1" applyAlignment="1">
      <alignment horizontal="center" wrapText="1"/>
    </xf>
    <xf numFmtId="0" fontId="0" fillId="0" borderId="15"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0" fillId="0" borderId="2" xfId="0" applyFont="1" applyBorder="1" applyAlignment="1">
      <alignment horizontal="center"/>
    </xf>
    <xf numFmtId="0" fontId="0" fillId="0" borderId="2" xfId="0" applyFont="1" applyBorder="1" applyAlignment="1">
      <alignment wrapText="1"/>
    </xf>
    <xf numFmtId="0" fontId="0" fillId="0" borderId="13" xfId="0" applyFont="1" applyBorder="1" applyAlignment="1">
      <alignment horizontal="center"/>
    </xf>
    <xf numFmtId="0" fontId="0" fillId="0" borderId="13" xfId="0" applyFont="1" applyBorder="1" applyAlignment="1">
      <alignment wrapText="1"/>
    </xf>
    <xf numFmtId="0" fontId="0" fillId="0" borderId="13" xfId="0" applyFont="1" applyBorder="1" applyAlignment="1">
      <alignment horizontal="center" wrapText="1"/>
    </xf>
    <xf numFmtId="164" fontId="16" fillId="0" borderId="13" xfId="0" applyNumberFormat="1" applyFont="1" applyBorder="1" applyAlignment="1">
      <alignment horizontal="center"/>
    </xf>
    <xf numFmtId="164" fontId="0" fillId="0" borderId="13" xfId="0" applyNumberFormat="1" applyFont="1" applyBorder="1" applyAlignment="1">
      <alignment horizontal="center"/>
    </xf>
    <xf numFmtId="0" fontId="0" fillId="0" borderId="13" xfId="0" applyFont="1" applyBorder="1" applyAlignment="1">
      <alignment horizontal="center"/>
    </xf>
    <xf numFmtId="0" fontId="0" fillId="0" borderId="2" xfId="0" applyFont="1" applyBorder="1" applyAlignment="1">
      <alignment/>
    </xf>
    <xf numFmtId="0" fontId="0" fillId="0" borderId="6" xfId="0" applyFont="1" applyBorder="1" applyAlignment="1">
      <alignment wrapText="1"/>
    </xf>
    <xf numFmtId="0" fontId="0" fillId="0" borderId="7" xfId="0" applyFont="1" applyBorder="1" applyAlignment="1">
      <alignment wrapText="1"/>
    </xf>
    <xf numFmtId="0" fontId="0" fillId="0" borderId="15" xfId="0" applyFont="1" applyBorder="1" applyAlignment="1">
      <alignment/>
    </xf>
    <xf numFmtId="0" fontId="0" fillId="0" borderId="13" xfId="0" applyFont="1" applyBorder="1" applyAlignment="1">
      <alignment/>
    </xf>
    <xf numFmtId="0" fontId="0" fillId="0" borderId="12" xfId="0" applyFont="1" applyBorder="1" applyAlignment="1">
      <alignment horizontal="center"/>
    </xf>
    <xf numFmtId="0" fontId="5" fillId="5" borderId="0" xfId="0" applyFont="1" applyAlignment="1">
      <alignment vertical="center"/>
    </xf>
    <xf numFmtId="0" fontId="14" fillId="9" borderId="1" xfId="0" applyFont="1" applyBorder="1" applyAlignment="1">
      <alignment wrapText="1"/>
    </xf>
    <xf numFmtId="0" fontId="1" fillId="9" borderId="1" xfId="0" applyFont="1" applyBorder="1" applyAlignment="1">
      <alignment wrapText="1"/>
    </xf>
    <xf numFmtId="166" fontId="1" fillId="10" borderId="1" xfId="0" applyNumberFormat="1" applyFont="1" applyBorder="1" applyAlignment="1">
      <alignment horizontal="left" wrapText="1"/>
    </xf>
    <xf numFmtId="0" fontId="1" fillId="10" borderId="1" xfId="0" applyFont="1" applyBorder="1" applyAlignment="1">
      <alignment wrapText="1"/>
    </xf>
    <xf numFmtId="166" fontId="1" fillId="11" borderId="1" xfId="0" applyNumberFormat="1" applyFont="1" applyBorder="1" applyAlignment="1">
      <alignment horizontal="left" wrapText="1"/>
    </xf>
    <xf numFmtId="0" fontId="14" fillId="11" borderId="1" xfId="0" applyFont="1" applyBorder="1" applyAlignment="1">
      <alignment wrapText="1"/>
    </xf>
    <xf numFmtId="0" fontId="1" fillId="11" borderId="1" xfId="0" applyFont="1" applyBorder="1" applyAlignment="1">
      <alignment wrapText="1"/>
    </xf>
    <xf numFmtId="0" fontId="21" fillId="3" borderId="3" xfId="0" applyFont="1" applyBorder="1" applyAlignment="1">
      <alignment vertical="center" wrapText="1"/>
    </xf>
    <xf numFmtId="164" fontId="1" fillId="0" borderId="8" xfId="0" applyNumberFormat="1" applyFont="1" applyBorder="1" applyAlignment="1">
      <alignment wrapText="1"/>
    </xf>
    <xf numFmtId="4" fontId="1" fillId="6" borderId="8" xfId="0" applyNumberFormat="1" applyFont="1" applyBorder="1" applyAlignment="1">
      <alignment wrapText="1"/>
    </xf>
    <xf numFmtId="0" fontId="1" fillId="8" borderId="8" xfId="0" applyFont="1" applyBorder="1" applyAlignment="1">
      <alignment horizontal="center" wrapText="1"/>
    </xf>
    <xf numFmtId="166" fontId="1" fillId="9" borderId="8" xfId="0" applyNumberFormat="1" applyFont="1" applyBorder="1" applyAlignment="1">
      <alignment horizontal="center" wrapText="1"/>
    </xf>
    <xf numFmtId="0" fontId="1" fillId="9" borderId="8" xfId="0" applyFont="1" applyBorder="1" applyAlignment="1">
      <alignment wrapText="1"/>
    </xf>
    <xf numFmtId="166" fontId="1" fillId="10" borderId="8" xfId="0" applyNumberFormat="1" applyFont="1" applyBorder="1" applyAlignment="1">
      <alignment horizontal="center" wrapText="1"/>
    </xf>
    <xf numFmtId="0" fontId="1" fillId="10" borderId="8" xfId="0" applyFont="1" applyBorder="1" applyAlignment="1">
      <alignment wrapText="1"/>
    </xf>
    <xf numFmtId="0" fontId="1" fillId="10" borderId="7" xfId="0" applyFont="1" applyBorder="1" applyAlignment="1">
      <alignment wrapText="1"/>
    </xf>
    <xf numFmtId="166" fontId="1" fillId="11" borderId="6" xfId="0" applyNumberFormat="1" applyFont="1" applyBorder="1" applyAlignment="1">
      <alignment horizontal="center" wrapText="1"/>
    </xf>
    <xf numFmtId="0" fontId="1" fillId="11" borderId="8" xfId="0" applyFont="1" applyBorder="1" applyAlignment="1">
      <alignment wrapText="1"/>
    </xf>
    <xf numFmtId="0" fontId="1" fillId="11" borderId="7" xfId="0" applyFont="1" applyBorder="1" applyAlignment="1">
      <alignment wrapText="1"/>
    </xf>
    <xf numFmtId="4" fontId="1" fillId="6" borderId="0" xfId="0" applyNumberFormat="1" applyFont="1" applyAlignment="1">
      <alignment wrapText="1"/>
    </xf>
    <xf numFmtId="0" fontId="1" fillId="8" borderId="0" xfId="0" applyFont="1" applyAlignment="1">
      <alignment horizontal="center" wrapText="1"/>
    </xf>
    <xf numFmtId="166" fontId="1" fillId="9" borderId="0" xfId="0" applyNumberFormat="1" applyFont="1" applyAlignment="1">
      <alignment horizontal="center" wrapText="1"/>
    </xf>
    <xf numFmtId="0" fontId="1" fillId="9" borderId="0" xfId="0" applyFont="1" applyAlignment="1">
      <alignment wrapText="1"/>
    </xf>
    <xf numFmtId="166" fontId="1" fillId="10" borderId="0" xfId="0" applyNumberFormat="1" applyFont="1" applyAlignment="1">
      <alignment horizontal="center" wrapText="1"/>
    </xf>
    <xf numFmtId="0" fontId="1" fillId="10" borderId="0" xfId="0" applyFont="1" applyAlignment="1">
      <alignment wrapText="1"/>
    </xf>
    <xf numFmtId="0" fontId="1" fillId="10" borderId="5" xfId="0" applyFont="1" applyBorder="1" applyAlignment="1">
      <alignment wrapText="1"/>
    </xf>
    <xf numFmtId="166" fontId="1" fillId="11" borderId="9" xfId="0" applyNumberFormat="1" applyFont="1" applyBorder="1" applyAlignment="1">
      <alignment horizontal="center" wrapText="1"/>
    </xf>
    <xf numFmtId="0" fontId="1" fillId="11" borderId="14" xfId="0" applyFont="1" applyBorder="1" applyAlignment="1">
      <alignment wrapText="1"/>
    </xf>
    <xf numFmtId="0" fontId="1" fillId="11" borderId="12" xfId="0" applyFont="1" applyBorder="1" applyAlignment="1">
      <alignment wrapText="1"/>
    </xf>
    <xf numFmtId="0" fontId="1" fillId="0" borderId="0" xfId="0" applyFont="1" applyAlignment="1">
      <alignment horizontal="center" wrapText="1"/>
    </xf>
    <xf numFmtId="0" fontId="1" fillId="17" borderId="1" xfId="0" applyFont="1" applyBorder="1" applyAlignment="1">
      <alignment vertical="top" wrapText="1"/>
    </xf>
    <xf numFmtId="0" fontId="22" fillId="3" borderId="10" xfId="0" applyFont="1" applyBorder="1" applyAlignment="1">
      <alignment vertical="center" wrapText="1"/>
    </xf>
    <xf numFmtId="164" fontId="22" fillId="3" borderId="10" xfId="0" applyNumberFormat="1" applyFont="1" applyBorder="1" applyAlignment="1">
      <alignment vertical="center" wrapText="1"/>
    </xf>
    <xf numFmtId="168" fontId="22" fillId="3" borderId="10" xfId="0" applyNumberFormat="1" applyFont="1" applyBorder="1" applyAlignment="1">
      <alignment vertical="center" wrapText="1"/>
    </xf>
    <xf numFmtId="4" fontId="22" fillId="3" borderId="10" xfId="0" applyNumberFormat="1" applyFont="1" applyBorder="1" applyAlignment="1">
      <alignment vertical="center" wrapText="1"/>
    </xf>
    <xf numFmtId="0" fontId="22" fillId="3" borderId="10" xfId="0" applyFont="1" applyBorder="1" applyAlignment="1">
      <alignment horizontal="left" vertical="center" wrapText="1"/>
    </xf>
    <xf numFmtId="0" fontId="22" fillId="3" borderId="10" xfId="0" applyFont="1" applyBorder="1" applyAlignment="1">
      <alignment horizontal="center" vertical="center" wrapText="1"/>
    </xf>
    <xf numFmtId="166" fontId="22" fillId="3" borderId="10" xfId="0" applyNumberFormat="1" applyFont="1" applyBorder="1" applyAlignment="1">
      <alignment horizontal="left" vertical="center" wrapText="1"/>
    </xf>
    <xf numFmtId="166" fontId="1" fillId="11" borderId="4" xfId="0" applyNumberFormat="1" applyFont="1" applyBorder="1" applyAlignment="1">
      <alignment horizontal="center" wrapText="1"/>
    </xf>
    <xf numFmtId="0" fontId="1" fillId="11" borderId="0" xfId="0" applyFont="1" applyAlignment="1">
      <alignment wrapText="1"/>
    </xf>
    <xf numFmtId="0" fontId="1" fillId="11" borderId="5" xfId="0" applyFont="1" applyBorder="1" applyAlignment="1">
      <alignment wrapText="1"/>
    </xf>
    <xf numFmtId="0" fontId="14" fillId="9" borderId="1" xfId="0" applyFont="1" applyBorder="1" applyAlignment="1">
      <alignment wrapText="1"/>
    </xf>
    <xf numFmtId="166" fontId="1" fillId="18" borderId="1" xfId="0" applyNumberFormat="1" applyFont="1" applyBorder="1" applyAlignment="1">
      <alignment horizontal="left" wrapText="1"/>
    </xf>
    <xf numFmtId="0" fontId="14" fillId="18" borderId="3" xfId="0" applyFont="1" applyBorder="1" applyAlignment="1">
      <alignment wrapText="1"/>
    </xf>
    <xf numFmtId="0" fontId="3" fillId="0" borderId="0" xfId="0" applyFont="1" applyAlignment="1">
      <alignment/>
    </xf>
    <xf numFmtId="0" fontId="2" fillId="7" borderId="0" xfId="0" applyFont="1" applyAlignment="1">
      <alignment wrapText="1"/>
    </xf>
    <xf numFmtId="0" fontId="0" fillId="7" borderId="0" xfId="0" applyFont="1" applyAlignment="1">
      <alignment wrapText="1"/>
    </xf>
    <xf numFmtId="0" fontId="23" fillId="3" borderId="0" xfId="0" applyFont="1" applyAlignment="1">
      <alignment wrapText="1"/>
    </xf>
    <xf numFmtId="0" fontId="23" fillId="3" borderId="0" xfId="0" applyFont="1" applyAlignment="1">
      <alignment wrapText="1"/>
    </xf>
    <xf numFmtId="164" fontId="1" fillId="0" borderId="10" xfId="0" applyNumberFormat="1" applyFont="1" applyBorder="1" applyAlignment="1">
      <alignment wrapText="1"/>
    </xf>
    <xf numFmtId="168" fontId="1" fillId="0" borderId="10" xfId="0" applyNumberFormat="1" applyFont="1" applyBorder="1" applyAlignment="1">
      <alignment wrapText="1"/>
    </xf>
    <xf numFmtId="0" fontId="1" fillId="0" borderId="10" xfId="0" applyFont="1" applyBorder="1" applyAlignment="1">
      <alignment horizontal="center" wrapText="1"/>
    </xf>
    <xf numFmtId="0" fontId="1" fillId="18" borderId="10" xfId="0" applyFont="1" applyBorder="1" applyAlignment="1">
      <alignment wrapText="1"/>
    </xf>
  </cellXfs>
  <cellStyles count="6">
    <cellStyle name="Normal" xfId="0"/>
    <cellStyle name="Percent" xfId="15"/>
    <cellStyle name="Currency" xfId="16"/>
    <cellStyle name="Currency [0]" xfId="17"/>
    <cellStyle name="Comma" xfId="18"/>
    <cellStyle name="Comma [0]" xfId="19"/>
  </cellStyles>
  <dxfs count="2">
    <dxf>
      <fill>
        <patternFill patternType="solid">
          <fgColor rgb="FFFF0000"/>
          <bgColor rgb="FFFF0000"/>
        </patternFill>
      </fill>
      <alignment textRotation="0" wrapText="1" shrinkToFit="1" readingOrder="0"/>
      <border>
        <left/>
        <right/>
        <top/>
        <bottom/>
      </border>
    </dxf>
    <dxf>
      <fill>
        <patternFill patternType="solid">
          <fgColor rgb="FF6AA84F"/>
          <bgColor rgb="FF6AA84F"/>
        </patternFill>
      </fill>
      <alignment textRotation="0" wrapText="1" shrinkToFit="1" readingOrder="0"/>
      <border>
        <left/>
        <right/>
        <top/>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worksheets/_rels/sheet1.xml.rels><?xml version="1.0" encoding="utf-8" standalone="yes"?><Relationships xmlns="http://schemas.openxmlformats.org/package/2006/relationships"><Relationship Id="rId1" Type="http://schemas.openxmlformats.org/officeDocument/2006/relationships/hyperlink" Target="https://docs.google.com/file/d/0B8aL7M45OFh_cGVGZ2l6cFdULVE/edit?usp=sharing" TargetMode="External" /><Relationship Id="rId2" Type="http://schemas.openxmlformats.org/officeDocument/2006/relationships/hyperlink" Target="https://docs.google.com/file/d/0B8aL7M45OFh_bndfVUM5WUF4dm8/edit" TargetMode="External" /><Relationship Id="rId3" Type="http://schemas.openxmlformats.org/officeDocument/2006/relationships/hyperlink" Target="https://docs.google.com/leaf?id=0B8aL7M45OFh_NWVlMzBhODYtOTg2Ny00NjljLWIzMmUtY2Q2ZjAzY2VjODRh&amp;hl=en_US&amp;authkey=CIXEreAI" TargetMode="External" /><Relationship Id="rId4" Type="http://schemas.openxmlformats.org/officeDocument/2006/relationships/hyperlink" Target="https://docs.google.com/document/d/1RhA0d2DdGctUOhuJ1UxbTKa2TAnPh97ZCPi4EPZH3io/edit?usp=sharing" TargetMode="Externa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s>
</file>

<file path=xl/worksheets/_rels/sheet16.xml.rels><?xml version="1.0" encoding="utf-8" standalone="yes"?><Relationships xmlns="http://schemas.openxmlformats.org/package/2006/relationships"><Relationship Id="rId1" Type="http://schemas.openxmlformats.org/officeDocument/2006/relationships/hyperlink" Target="https://docs.google.com/file/d/0B8aL7M45OFh_YVJTM1dFODdlSGM/edit?usp=sharing" TargetMode="External" /><Relationship Id="rId2" Type="http://schemas.openxmlformats.org/officeDocument/2006/relationships/hyperlink" Target="https://docs.google.com/document/d/104GcuVdpqyDEPBnIM6O3BJ3LnmQSmcQ6UNyl5T6XgMk/edit?usp=sharing"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app.devzing.com/crocs/bugzilla/show_bug.cgi?id=8605" TargetMode="External" /><Relationship Id="rId2" Type="http://schemas.openxmlformats.org/officeDocument/2006/relationships/hyperlink" Target="https://docs.google.com/file/d/0B8aL7M45OFh_VU9icmNNNkJmMU0/edit?usp=sharing"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docs.google.com/document/d/1kjJhDEmeJsaLKOBpoKHm0wqxAnw3AVDmJfmw650r7nM/edit#" TargetMode="External" /><Relationship Id="rId2" Type="http://schemas.openxmlformats.org/officeDocument/2006/relationships/hyperlink" Target="https://docs.google.com/open?id=0B8aL7M45OFh_NzRzNGhybzlUeFk" TargetMode="External" /><Relationship Id="rId3" Type="http://schemas.openxmlformats.org/officeDocument/2006/relationships/hyperlink" Target="https://docs.google.com/open?id=0B8aL7M45OFh_Nmh6STQ5RjBITEE" TargetMode="External" /><Relationship Id="rId4" Type="http://schemas.openxmlformats.org/officeDocument/2006/relationships/hyperlink" Target="https://docs.google.com/open?id=0B8aL7M45OFh_ZmRienpzSlBROWVxNzhUY1hPNmZGUQ" TargetMode="External" /><Relationship Id="rId5" Type="http://schemas.openxmlformats.org/officeDocument/2006/relationships/hyperlink" Target="https://docs.google.com/document/d/13AKjC4v9Vs4J9OaXQ8fOsFCvOPcTzFdTfBcYYldiN_Y/edit#" TargetMode="External" /><Relationship Id="rId6" Type="http://schemas.openxmlformats.org/officeDocument/2006/relationships/hyperlink" Target="https://docs.google.com/leaf?id=0B8aL7M45OFh_YzMxMmRmMzgtYTc4Yi00MjEyLWFmMTQtNDI5Y2Y5OGNiM2Ez&amp;hl=en_US" TargetMode="External" /><Relationship Id="rId7" Type="http://schemas.openxmlformats.org/officeDocument/2006/relationships/hyperlink" Target="https://docs.google.com/open?id=0B8aL7M45OFh_UDVFVHA5bTlRdXFJRkhDcWlrRDFhZw" TargetMode="External" /><Relationship Id="rId8" Type="http://schemas.openxmlformats.org/officeDocument/2006/relationships/hyperlink" Target="https://docs.google.com/open?id=0B8aL7M45OFh_cEdnWFRTX3NYSmM" TargetMode="External" /><Relationship Id="rId9" Type="http://schemas.openxmlformats.org/officeDocument/2006/relationships/hyperlink" Target="https://docs.google.com/file/d/0B8aL7M45OFh_OTQ4eTBJRnVsRUE/edit?usp=sharing" TargetMode="External" /><Relationship Id="rId10" Type="http://schemas.openxmlformats.org/officeDocument/2006/relationships/hyperlink" Target="https://docs.google.com/open?id=0B8aL7M45OFh_ZWNlNzhmMjUtZTFmZC00ZGUxLWJlODUtN2Y1ZWUyNzJjMzE2" TargetMode="External" /><Relationship Id="rId11" Type="http://schemas.openxmlformats.org/officeDocument/2006/relationships/hyperlink" Target="https://docs.google.com/file/d/0B8aL7M45OFh_Q2hLdFlzR2pvd3M/edit?usp=sharing" TargetMode="External" /><Relationship Id="rId12" Type="http://schemas.openxmlformats.org/officeDocument/2006/relationships/hyperlink" Target="https://docs.google.com/document/d/1Jse7NI60aV7WVV7CxY4jqsYEfdvkBGgHZcNXoHwRu6o/edit#heading=h.30j0zll" TargetMode="External" /><Relationship Id="rId13" Type="http://schemas.openxmlformats.org/officeDocument/2006/relationships/hyperlink" Target="https://docs.google.com/document/d/1qZ8_nM4juWRr_qUkkYoe8NY2kQuwUTIolUo2RibNC7w/edit?usp=sharing" TargetMode="External" /><Relationship Id="rId14" Type="http://schemas.openxmlformats.org/officeDocument/2006/relationships/hyperlink" Target="https://docs.google.com/file/d/0B8aL7M45OFh_Z2Vkd1RJRDl3dVU/edit?usp=sharing" TargetMode="External" /><Relationship Id="rId15" Type="http://schemas.openxmlformats.org/officeDocument/2006/relationships/hyperlink" Target="https://docs.google.com/document/d/1RXkBtRfwB0a_ZTw6Kf6JTq-ZZ2a8Xt3d9geMieAQJKA/edit" TargetMode="External" /><Relationship Id="rId16" Type="http://schemas.openxmlformats.org/officeDocument/2006/relationships/hyperlink" Target="https://docs.google.com/document/d/1HgfI1xXWTfBifEGBfiR5bwBydcPnz38wvEIClDqM134/edit#heading=h.gjdgxs" TargetMode="External" /><Relationship Id="rId17" Type="http://schemas.openxmlformats.org/officeDocument/2006/relationships/hyperlink" Target="https://docs.google.com/document/d/1b5RTyL2onHp3jvtYy74zNKwcbAu88fWqM2Ewe1Q4Inc/edit" TargetMode="External" /><Relationship Id="rId18" Type="http://schemas.openxmlformats.org/officeDocument/2006/relationships/hyperlink" Target="https://docs.google.com/document/d/1HCntQoAWKszav-lXkmcYbU7fXx-QusBstGAh5eHPOug/edit?usp=sharing" TargetMode="External" /><Relationship Id="rId19" Type="http://schemas.openxmlformats.org/officeDocument/2006/relationships/hyperlink" Target="https://docs.google.com/file/d/0B8aL7M45OFh_YVJTM1dFODdlSGM/edit?usp=sharing" TargetMode="External" /><Relationship Id="rId20" Type="http://schemas.openxmlformats.org/officeDocument/2006/relationships/hyperlink" Target="https://docs.google.com/document/d/104GcuVdpqyDEPBnIM6O3BJ3LnmQSmcQ6UNyl5T6XgMk/edit?usp=sharing" TargetMode="External" /><Relationship Id="rId21" Type="http://schemas.openxmlformats.org/officeDocument/2006/relationships/hyperlink" Target="https://docs.google.com/document/d/1fPr1dQE_o-HmCs3wVBTd7gdEuoCQ36zPphEo2dV42UM/edit?usp=sharing" TargetMode="External" /><Relationship Id="rId22" Type="http://schemas.openxmlformats.org/officeDocument/2006/relationships/hyperlink" Target="https://docs.google.com/document/d/1hzxOGxFGkZuvJsEVfvDFDrgiauv7AS9lor6WlOFsBpI/edit?usp=sharing" TargetMode="External" /><Relationship Id="rId23" Type="http://schemas.openxmlformats.org/officeDocument/2006/relationships/hyperlink" Target="https://docs.google.com/file/d/0B8aL7M45OFh_bHVJU0M2QlIycXc/edit?usp=sharing" TargetMode="External" /><Relationship Id="rId24" Type="http://schemas.openxmlformats.org/officeDocument/2006/relationships/hyperlink" Target="https://docs.google.com/document/d/1c8XMgSIYIfVinaDa23Qoy9QI-DadL6TfFFEFKg6IJeY/edit" TargetMode="External" /><Relationship Id="rId25" Type="http://schemas.openxmlformats.org/officeDocument/2006/relationships/hyperlink" Target="https://docs.google.com/document/d/1b-fdc6i5uDWeew0gnVYJEBjjCG8DGMbGQ04qwAB3iyk/edit" TargetMode="External" /><Relationship Id="rId26" Type="http://schemas.openxmlformats.org/officeDocument/2006/relationships/hyperlink" Target="https://docs.google.com/document/d/1HCntQoAWKszav-lXkmcYbU7fXx-QusBstGAh5eHPOug/edit?usp=sharing" TargetMode="External" /><Relationship Id="rId27" Type="http://schemas.openxmlformats.org/officeDocument/2006/relationships/hyperlink" Target="https://docs.google.com/file/d/0B8aL7M45OFh_YVJTM1dFODdlSGM/edit?usp=sharing" TargetMode="External" /><Relationship Id="rId28" Type="http://schemas.openxmlformats.org/officeDocument/2006/relationships/hyperlink" Target="https://docs.google.com/file/d/0B8aL7M45OFh_YVJTM1dFODdlSGM/edit?usp=sharing" TargetMode="External" /><Relationship Id="rId29" Type="http://schemas.openxmlformats.org/officeDocument/2006/relationships/hyperlink" Target="https://docs.google.com/document/d/152JbS-puW2n_RMM0yO17416n8WeMXPofwEOUtqmoV7I/edit?usp=sharing" TargetMode="External" /><Relationship Id="rId30" Type="http://schemas.openxmlformats.org/officeDocument/2006/relationships/hyperlink" Target="https://docs.google.com/document/d/1xfrDgi3yaInbSfXI0g2cH3a4BQhf9xIKnbGyP2_W3B0/edit?usp=sharing" TargetMode="External" /><Relationship Id="rId31" Type="http://schemas.openxmlformats.org/officeDocument/2006/relationships/hyperlink" Target="https://docs.google.com/leaf?id=0B8aL7M45OFh_YTc0NjNjMzMtZWMyMi00M2VlLTg5MmItYWY3ODVjYjRlZjc1&amp;hl=en&amp;authkey=CJ3DpoEB" TargetMode="External" /><Relationship Id="rId32" Type="http://schemas.openxmlformats.org/officeDocument/2006/relationships/hyperlink" Target="https://docs.google.com/document/d/1r8U5FB1bDugjU-K1BEkhOqOpAWrM6XvrqUIym1Rh0TU/edit?usp=sharing" TargetMode="External" /><Relationship Id="rId33" Type="http://schemas.openxmlformats.org/officeDocument/2006/relationships/hyperlink" Target="https://docs.google.com/file/d/0B8aL7M45OFh_RXZiTjU1TmNXdms/edit?usp=sharin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docs.google.com/file/d/0B8aL7M45OFh_YVJTM1dFODdlSGM/edit?usp=sharing" TargetMode="External" /><Relationship Id="rId2" Type="http://schemas.openxmlformats.org/officeDocument/2006/relationships/hyperlink" Target="https://docs.google.com/leaf?id=0B8aL7M45OFh_NWVlMzBhODYtOTg2Ny00NjljLWIzMmUtY2Q2ZjAzY2VjODRh&amp;hl=en_US&amp;authkey=CIXEreAI" TargetMode="External" /><Relationship Id="rId3" Type="http://schemas.openxmlformats.org/officeDocument/2006/relationships/hyperlink" Target="https://docs.google.com/leaf?id=0B8aL7M45OFh_YTc0NjNjMzMtZWMyMi00M2VlLTg5MmItYWY3ODVjYjRlZjc1&amp;hl=en&amp;authkey=CJ3DpoEB" TargetMode="External" /><Relationship Id="rId4" Type="http://schemas.openxmlformats.org/officeDocument/2006/relationships/hyperlink" Target="https://docs.google.com/document/d/152JbS-puW2n_RMM0yO17416n8WeMXPofwEOUtqmoV7I/edit?usp=sharing" TargetMode="External" /><Relationship Id="rId5" Type="http://schemas.openxmlformats.org/officeDocument/2006/relationships/hyperlink" Target="https://docs.google.com/leaf?id=0B8aL7M45OFh_YzMxMmRmMzgtYTc4Yi00MjEyLWFmMTQtNDI5Y2Y5OGNiM2Ez&amp;hl=en_US" TargetMode="External" /><Relationship Id="rId6" Type="http://schemas.openxmlformats.org/officeDocument/2006/relationships/hyperlink" Target="https://docs.google.com/open?id=0B8aL7M45OFh_Y2U0NjBhNzAtYWMyNC00ZGFhLWI2MmEtYjA3MDUzNTVhYjE4" TargetMode="External" /><Relationship Id="rId7" Type="http://schemas.openxmlformats.org/officeDocument/2006/relationships/hyperlink" Target="https://docs.google.com/open?id=0B8aL7M45OFh_UDVFVHA5bTlRdXFJRkhDcWlrRDFhZw" TargetMode="External" /><Relationship Id="rId8" Type="http://schemas.openxmlformats.org/officeDocument/2006/relationships/hyperlink" Target="https://docs.google.com/document/d/1c8XMgSIYIfVinaDa23Qoy9QI-DadL6TfFFEFKg6IJeY/edit" TargetMode="External" /><Relationship Id="rId9" Type="http://schemas.openxmlformats.org/officeDocument/2006/relationships/hyperlink" Target="https://docs.google.com/document/d/104GcuVdpqyDEPBnIM6O3BJ3LnmQSmcQ6UNyl5T6XgMk/edit?usp=sharing" TargetMode="External" /><Relationship Id="rId10" Type="http://schemas.openxmlformats.org/officeDocument/2006/relationships/hyperlink" Target="https://docs.google.com/document/d/1RXkBtRfwB0a_ZTw6Kf6JTq-ZZ2a8Xt3d9geMieAQJKA/edit" TargetMode="External" /><Relationship Id="rId11" Type="http://schemas.openxmlformats.org/officeDocument/2006/relationships/hyperlink" Target="https://docs.google.com/open?id=0B8aL7M45OFh_NzRzNGhybzlUeFk" TargetMode="External" /><Relationship Id="rId12" Type="http://schemas.openxmlformats.org/officeDocument/2006/relationships/hyperlink" Target="https://docs.google.com/file/d/0B8aL7M45OFh_VU9icmNNNkJmMU0/edit?usp=sharing" TargetMode="External" /><Relationship Id="rId13" Type="http://schemas.openxmlformats.org/officeDocument/2006/relationships/hyperlink" Target="https://docs.google.com/open?id=0B8aL7M45OFh_Nmh6STQ5RjBITEE" TargetMode="External" /><Relationship Id="rId14" Type="http://schemas.openxmlformats.org/officeDocument/2006/relationships/hyperlink" Target="https://docs.google.com/document/d/1b-fdc6i5uDWeew0gnVYJEBjjCG8DGMbGQ04qwAB3iyk/edit" TargetMode="External" /><Relationship Id="rId15" Type="http://schemas.openxmlformats.org/officeDocument/2006/relationships/hyperlink" Target="https://docs.google.com/file/d/0B8aL7M45OFh_OTQ4eTBJRnVsRUE/edit?usp=sharing" TargetMode="External" /><Relationship Id="rId16" Type="http://schemas.openxmlformats.org/officeDocument/2006/relationships/hyperlink" Target="https://docs.google.com/file/d/0B8aL7M45OFh_Q2hLdFlzR2pvd3M/edit?usp=sharing" TargetMode="External" /><Relationship Id="rId17" Type="http://schemas.openxmlformats.org/officeDocument/2006/relationships/hyperlink" Target="https://docs.google.com/file/d/0B8aL7M45OFh_RXZiTjU1TmNXdms/edit?usp=sharing" TargetMode="External" /><Relationship Id="rId18" Type="http://schemas.openxmlformats.org/officeDocument/2006/relationships/hyperlink" Target="https://docs.google.com/open?id=0B8aL7M45OFh_ZmRienpzSlBROWVxNzhUY1hPNmZGUQ" TargetMode="External" /><Relationship Id="rId19" Type="http://schemas.openxmlformats.org/officeDocument/2006/relationships/hyperlink" Target="https://docs.google.com/file/d/0B8aL7M45OFh_Z2Vkd1RJRDl3dVU/edit?usp=sharing" TargetMode="External" /><Relationship Id="rId20" Type="http://schemas.openxmlformats.org/officeDocument/2006/relationships/hyperlink" Target="https://docs.google.com/document/d/1HCntQoAWKszav-lXkmcYbU7fXx-QusBstGAh5eHPOug/edit?usp=sharing" TargetMode="External" /><Relationship Id="rId21" Type="http://schemas.openxmlformats.org/officeDocument/2006/relationships/hyperlink" Target="https://docs.google.com/document/d/1r8U5FB1bDugjU-K1BEkhOqOpAWrM6XvrqUIym1Rh0TU/edit?usp=sharing" TargetMode="External" /><Relationship Id="rId22" Type="http://schemas.openxmlformats.org/officeDocument/2006/relationships/hyperlink" Target="https://docs.google.com/document/d/1fPr1dQE_o-HmCs3wVBTd7gdEuoCQ36zPphEo2dV42UM/edit?usp=sharing" TargetMode="External" /><Relationship Id="rId23" Type="http://schemas.openxmlformats.org/officeDocument/2006/relationships/hyperlink" Target="https://docs.google.com/open?id=0B8aL7M45OFh_cEdnWFRTX3NYSmM" TargetMode="External" /><Relationship Id="rId24" Type="http://schemas.openxmlformats.org/officeDocument/2006/relationships/hyperlink" Target="https://docs.google.com/document/d/1HCntQoAWKszav-lXkmcYbU7fXx-QusBstGAh5eHPOug/edit?usp=sharing" TargetMode="External" /><Relationship Id="rId25" Type="http://schemas.openxmlformats.org/officeDocument/2006/relationships/hyperlink" Target="https://drive.google.com/file/d/0BygetqmL3yfITjZPSGgtU0hkTlk/edit?usp=sharing" TargetMode="External" /><Relationship Id="rId26" Type="http://schemas.openxmlformats.org/officeDocument/2006/relationships/hyperlink" Target="https://docs.google.com/file/d/0B8aL7M45OFh_bHVJU0M2QlIycXc/edit?usp=sharing" TargetMode="External" /><Relationship Id="rId27" Type="http://schemas.openxmlformats.org/officeDocument/2006/relationships/hyperlink" Target="https://docs.google.com/document/d/1qZ8_nM4juWRr_qUkkYoe8NY2kQuwUTIolUo2RibNC7w/edit?usp=sharing" TargetMode="External" /><Relationship Id="rId28" Type="http://schemas.openxmlformats.org/officeDocument/2006/relationships/hyperlink" Target="https://docs.google.com/document/d/1xfrDgi3yaInbSfXI0g2cH3a4BQhf9xIKnbGyP2_W3B0/edit?usp=sharing" TargetMode="External" /><Relationship Id="rId29" Type="http://schemas.openxmlformats.org/officeDocument/2006/relationships/hyperlink" Target="https://docs.google.com/document/d/1RhA0d2DdGctUOhuJ1UxbTKa2TAnPh97ZCPi4EPZH3io/edit?usp=sharing" TargetMode="External" /><Relationship Id="rId30" Type="http://schemas.openxmlformats.org/officeDocument/2006/relationships/hyperlink" Target="https://docs.google.com/document/d/1b5RTyL2onHp3jvtYy74zNKwcbAu88fWqM2Ewe1Q4Inc/edit" TargetMode="External" /><Relationship Id="rId31" Type="http://schemas.openxmlformats.org/officeDocument/2006/relationships/hyperlink" Target="https://docs.google.com/document/d/1HgfI1xXWTfBifEGBfiR5bwBydcPnz38wvEIClDqM134/edit#heading=h.gjdgxs" TargetMode="External" /><Relationship Id="rId32" Type="http://schemas.openxmlformats.org/officeDocument/2006/relationships/hyperlink" Target="https://docs.google.com/document/d/1hzxOGxFGkZuvJsEVfvDFDrgiauv7AS9lor6WlOFsBpI/edit?usp=sharing" TargetMode="External" /><Relationship Id="rId33" Type="http://schemas.openxmlformats.org/officeDocument/2006/relationships/hyperlink" Target="https://docs.google.com/document/d/1kjJhDEmeJsaLKOBpoKHm0wqxAnw3AVDmJfmw650r7nM/edit#" TargetMode="External" /><Relationship Id="rId34" Type="http://schemas.openxmlformats.org/officeDocument/2006/relationships/hyperlink" Target="https://docs.google.com/document/d/1mbWjoZszMnSaTdRbuSjUiDsbsjpJdDoOxZzr09s3SV4/edit#" TargetMode="External" /><Relationship Id="rId35" Type="http://schemas.openxmlformats.org/officeDocument/2006/relationships/hyperlink" Target="https://docs.google.com/document/d/1Jse7NI60aV7WVV7CxY4jqsYEfdvkBGgHZcNXoHwRu6o/edit#heading=h.30j0zll" TargetMode="External" /><Relationship Id="rId36" Type="http://schemas.openxmlformats.org/officeDocument/2006/relationships/hyperlink" Target="https://docs.google.com/document/d/13AKjC4v9Vs4J9OaXQ8fOsFCvOPcTzFdTfBcYYldiN_Y/edit#" TargetMode="External" /><Relationship Id="rId37" Type="http://schemas.openxmlformats.org/officeDocument/2006/relationships/hyperlink" Target="https://docs.google.com/document/d/1owHK5uUp_zwCFA4OtxC0AdsM8aZb9yCzAhpZLGsF2i8/edit" TargetMode="External" /><Relationship Id="rId38" Type="http://schemas.openxmlformats.org/officeDocument/2006/relationships/hyperlink" Target="https://docs.google.com/document/d/1q-meuyAgIiGw8ha1-Avq9lJUhwvzWp1mkg0BDtxkIKs/edit" TargetMode="External" /><Relationship Id="rId39" Type="http://schemas.openxmlformats.org/officeDocument/2006/relationships/hyperlink" Target="https://docs.google.com/document/d/1I0sLy-An5bwJJZZ1MAyvLBzJ98KRoE2Et1RUbNP8Vok/edit" TargetMode="External" /><Relationship Id="rId40" Type="http://schemas.openxmlformats.org/officeDocument/2006/relationships/hyperlink" Target="https://docs.google.com/document/d/1hZwK2w37XEh6TRuqJKkWoxZPQpVHMXMLzvqUL_4GGWY/edit" TargetMode="External" /><Relationship Id="rId41" Type="http://schemas.openxmlformats.org/officeDocument/2006/relationships/hyperlink" Target="https://docs.google.com/document/d/1rRAIlK88FbcvZf6RXJUo9W8kCrTMRke_e916asw5gqo/edit" TargetMode="External" /><Relationship Id="rId42" Type="http://schemas.openxmlformats.org/officeDocument/2006/relationships/hyperlink" Target="https://docs.google.com/document/d/1kNJyVfiuy_WDJ9AY9AhLgvnL9U9lWvcatT3Ene-TDE0/edit" TargetMode="External" /><Relationship Id="rId43" Type="http://schemas.openxmlformats.org/officeDocument/2006/relationships/hyperlink" Target="https://docs.google.com/document/d/1kNJyVfiuy_WDJ9AY9AhLgvnL9U9lWvcatT3Ene-TDE0/edit" TargetMode="External" /><Relationship Id="rId44" Type="http://schemas.openxmlformats.org/officeDocument/2006/relationships/hyperlink" Target="https://docs.google.com/document/d/1a4BJyx6OMlD8qinCV2zMzxsN45HeUilQABFU9zEyfRw/edit" TargetMode="External" /><Relationship Id="rId45" Type="http://schemas.openxmlformats.org/officeDocument/2006/relationships/hyperlink" Target="https://docs.google.com/document/d/1uZAAOsXRzJXnoISRO0KhAO9s59wz6I7fun0Ff8LACbE/edit#" TargetMode="External" /><Relationship Id="rId46" Type="http://schemas.openxmlformats.org/officeDocument/2006/relationships/hyperlink" Target="https://docs.google.com/document/d/1z1eVtIvyLiMGqXOoJ9oVKED9E3HL0jI7mBgE7kDS1z8/edit#" TargetMode="External" /><Relationship Id="rId47" Type="http://schemas.openxmlformats.org/officeDocument/2006/relationships/hyperlink" Target="https://docs.google.com/document/d/1XmbMQSyseLC-mT2RZVCH8Le9gA7oetK2RvpBDFfCdzo/edit?usp=sharing" TargetMode="External" /><Relationship Id="rId48" Type="http://schemas.openxmlformats.org/officeDocument/2006/relationships/hyperlink" Target="https://docs.google.com/document/d/1xn4H0Jk3Ae7xIWtSSbt8mJ_UxXQbSFHPElud9F3BC98/edit?usp=sharing" TargetMode="External" /><Relationship Id="rId49" Type="http://schemas.openxmlformats.org/officeDocument/2006/relationships/hyperlink" Target="https://docs.google.com/document/d/1B6dCD9SmdR_kHQeECq4BCXs5Em54EFWheJuklVt-ifw/edit?usp=sharing" TargetMode="External" /><Relationship Id="rId50" Type="http://schemas.openxmlformats.org/officeDocument/2006/relationships/hyperlink" Target="https://docs.google.com/document/d/1zeeTq3x59wW_8k5ZcUk8EULtCSeBSk3JlUQB6BFPfnY/edit#" TargetMode="External" /><Relationship Id="rId51" Type="http://schemas.openxmlformats.org/officeDocument/2006/relationships/hyperlink" Target="https://docs.google.com/document/d/1Cfw-qy1Ut-mDOLXei94UqCC3RH78TPWtLVvoosMJdWI/edit?usp=sharing" TargetMode="External" /><Relationship Id="rId52" Type="http://schemas.openxmlformats.org/officeDocument/2006/relationships/hyperlink" Target="https://docs.google.com/document/d/1z-7tAbe8coBUClT5JRToJnyfNIQSdo-k9FVHeKMo8ds/edit#heading=h.gjdgxs" TargetMode="External" /><Relationship Id="rId53" Type="http://schemas.openxmlformats.org/officeDocument/2006/relationships/hyperlink" Target="https://docs.google.com/file/d/0B8aL7M45OFh_cGVGZ2l6cFdULVE/edit?usp=sharing" TargetMode="External" /><Relationship Id="rId54" Type="http://schemas.openxmlformats.org/officeDocument/2006/relationships/hyperlink" Target="https://docs.google.com/document/d/1e3C0zoq4FuJ034djBLrTAZW14QVlR24uHdDMMjdwBWc/edit?usp=sharing" TargetMode="External" /><Relationship Id="rId55" Type="http://schemas.openxmlformats.org/officeDocument/2006/relationships/hyperlink" Target="https://docs.google.com/leaf?id=0B8aL7M45OFh_MmQ5NjdkN2MtYmExYi00YzI3LWJlNWMtN2YxZWMxZGJkZjQ4&amp;hl=en_US&amp;authkey=CPunlMYO" TargetMode="External" /><Relationship Id="rId56" Type="http://schemas.openxmlformats.org/officeDocument/2006/relationships/hyperlink" Target="https://docs.google.com/open?id=0B8aL7M45OFh_NThiZmYzZGItZGZkZC00MTU4LThkYjItMGY0NjBjMmE0ZTFh" TargetMode="External" /><Relationship Id="rId57" Type="http://schemas.openxmlformats.org/officeDocument/2006/relationships/hyperlink" Target="https://docs.google.com/document/d/1Erjpuv3nvNExWh_oV9Z5q6D6M2EGgqZemwa1lRo2ry0/edit#heading=h.30j0zll" TargetMode="External" /><Relationship Id="rId58" Type="http://schemas.openxmlformats.org/officeDocument/2006/relationships/hyperlink" Target="https://docs.google.com/file/d/0B8aL7M45OFh_bG5ReldxdGxGNzQ/edit?usp=sharing" TargetMode="External" /><Relationship Id="rId59" Type="http://schemas.openxmlformats.org/officeDocument/2006/relationships/hyperlink" Target="https://docs.google.com/open?id=0B8aL7M45OFh_MzE0N2I4MmUtNTEwMC00NDg3LWFhZDgtODBlZGFhMTgxYTgy" TargetMode="External" /><Relationship Id="rId60" Type="http://schemas.openxmlformats.org/officeDocument/2006/relationships/hyperlink" Target="https://docs.google.com/open?id=0B8aL7M45OFh_UkV3eXp0bkctZ2c" TargetMode="External" /><Relationship Id="rId61" Type="http://schemas.openxmlformats.org/officeDocument/2006/relationships/hyperlink" Target="https://docs.google.com/file/d/0B8aL7M45OFh_V29JcXBtVTA0X2c/edit?usp=sharing" TargetMode="External" /><Relationship Id="rId62" Type="http://schemas.openxmlformats.org/officeDocument/2006/relationships/hyperlink" Target="https://docs.google.com/open?id=0B8aL7M45OFh_MDVkYWZkZGMtMzQ1Yy00ODI4LTg5N2QtZDAxMDQ4NzM2M2E5" TargetMode="External" /><Relationship Id="rId63" Type="http://schemas.openxmlformats.org/officeDocument/2006/relationships/hyperlink" Target="https://docs.google.com/open?id=0B8aL7M45OFh_c2VPYTVqV19hQkk" TargetMode="External" /><Relationship Id="rId64" Type="http://schemas.openxmlformats.org/officeDocument/2006/relationships/hyperlink" Target="https://docs.google.com/open?id=0B8aL7M45OFh_Zjg4YzUxM2MtMTU4Mi00Y2Y4LWJlMWItNjRkOTNkMGIwM2Zl" TargetMode="External" /><Relationship Id="rId65" Type="http://schemas.openxmlformats.org/officeDocument/2006/relationships/hyperlink" Target="https://docs.google.com/open?id=0B8aL7M45OFh_MnRjbzlVb3JTdks1UWEwWXBmMFFVZw" TargetMode="External" /><Relationship Id="rId66" Type="http://schemas.openxmlformats.org/officeDocument/2006/relationships/hyperlink" Target="https://docs.google.com/open?id=0B8aL7M45OFh_ZWNlNzhmMjUtZTFmZC00ZGUxLWJlODUtN2Y1ZWUyNzJjMzE2" TargetMode="External" /><Relationship Id="rId67" Type="http://schemas.openxmlformats.org/officeDocument/2006/relationships/hyperlink" Target="https://docs.google.com/file/d/0B8aL7M45OFh_OWthNFlmaElFMHM/edit" TargetMode="External" /><Relationship Id="rId68" Type="http://schemas.openxmlformats.org/officeDocument/2006/relationships/hyperlink" Target="https://docs.google.com/open?id=0B8aL7M45OFh_SVFoOHhUMURSS2lEVEh4U3VCUllzdw" TargetMode="External" /><Relationship Id="rId69" Type="http://schemas.openxmlformats.org/officeDocument/2006/relationships/hyperlink" Target="https://docs.google.com/file/d/0B8aL7M45OFh_bndfVUM5WUF4dm8/edit" TargetMode="External" /><Relationship Id="rId70" Type="http://schemas.openxmlformats.org/officeDocument/2006/relationships/comments" Target="../comments3.xml" /><Relationship Id="rId71" Type="http://schemas.openxmlformats.org/officeDocument/2006/relationships/vmlDrawing" Target="../drawings/vmlDrawing1.vml" /></Relationships>
</file>

<file path=xl/worksheets/_rels/sheet36.xml.rels><?xml version="1.0" encoding="utf-8" standalone="yes"?><Relationships xmlns="http://schemas.openxmlformats.org/package/2006/relationships"><Relationship Id="rId1" Type="http://schemas.openxmlformats.org/officeDocument/2006/relationships/hyperlink" Target="https://docs.google.com/open?id=0B8aL7M45OFh_MjQ2ZDFlMWEtNzRmYS00M2QzLTkyMTEtY2ZmM2MyYjhjMzcw" TargetMode="External" /><Relationship Id="rId2" Type="http://schemas.openxmlformats.org/officeDocument/2006/relationships/hyperlink" Target="https://docs.google.com/leaf?id=0B8aL7M45OFh_YTc0NjNjMzMtZWMyMi00M2VlLTg5MmItYWY3ODVjYjRlZjc1&amp;hl=en&amp;authkey=CJ3DpoEB" TargetMode="External" /><Relationship Id="rId3" Type="http://schemas.openxmlformats.org/officeDocument/2006/relationships/hyperlink" Target="https://docs.google.com/leaf?id=0B8aL7M45OFh_YzMxMmRmMzgtYTc4Yi00MjEyLWFmMTQtNDI5Y2Y5OGNiM2Ez&amp;hl=en_US" TargetMode="External" /><Relationship Id="rId4" Type="http://schemas.openxmlformats.org/officeDocument/2006/relationships/hyperlink" Target="https://docs.google.com/open?id=0B8aL7M45OFh_NThiZmYzZGItZGZkZC00MTU4LThkYjItMGY0NjBjMmE0ZTFh" TargetMode="External" /><Relationship Id="rId5" Type="http://schemas.openxmlformats.org/officeDocument/2006/relationships/hyperlink" Target="https://docs.google.com/leaf?id=0B8aL7M45OFh_NWVlMzBhODYtOTg2Ny00NjljLWIzMmUtY2Q2ZjAzY2VjODRh&amp;hl=en_US&amp;authkey=CIXEreAI" TargetMode="External" /><Relationship Id="rId6" Type="http://schemas.openxmlformats.org/officeDocument/2006/relationships/hyperlink" Target="https://docs.google.com/leaf?id=0B8aL7M45OFh_MmQ5NjdkN2MtYmExYi00YzI3LWJlNWMtN2YxZWMxZGJkZjQ4&amp;hl=en_US&amp;authkey=CPunlMYO" TargetMode="External" /><Relationship Id="rId7" Type="http://schemas.openxmlformats.org/officeDocument/2006/relationships/hyperlink" Target="https://docs.google.com/leaf?id=0B8aL7M45OFh_MTY0NjQxZTUtZjdkYy00ZjFjLThjN2EtNjQyZDEyNjU0YWU5&amp;hl=en&amp;authkey=CJSRuaMD" TargetMode="External" /><Relationship Id="rId8" Type="http://schemas.openxmlformats.org/officeDocument/2006/relationships/hyperlink" Target="https://docs.google.com/open?id=0B8aL7M45OFh_MzE0N2I4MmUtNTEwMC00NDg3LWFhZDgtODBlZGFhMTgxYTgy" TargetMode="External" /><Relationship Id="rId9" Type="http://schemas.openxmlformats.org/officeDocument/2006/relationships/hyperlink" Target="https://docs.google.com/open?id=0B8aL7M45OFh_MDVkYWZkZGMtMzQ1Yy00ODI4LTg5N2QtZDAxMDQ4NzM2M2E5" TargetMode="External" /><Relationship Id="rId10" Type="http://schemas.openxmlformats.org/officeDocument/2006/relationships/hyperlink" Target="https://docs.google.com/open?id=0B8aL7M45OFh_NjQ1MmNkNTUtYzc1MS00YWQ0LWJmZTctNDE3NzIzMzY1MzA1" TargetMode="External" /><Relationship Id="rId11" Type="http://schemas.openxmlformats.org/officeDocument/2006/relationships/hyperlink" Target="https://docs.google.com/open?id=0B8aL7M45OFh_ZWNlNzhmMjUtZTFmZC00ZGUxLWJlODUtN2Y1ZWUyNzJjMzE2" TargetMode="External" /><Relationship Id="rId12" Type="http://schemas.openxmlformats.org/officeDocument/2006/relationships/hyperlink" Target="https://docs.google.com/open?id=0B8aL7M45OFh_NWMxZWZlNTQtNzMxNy00ZTM4LWIzNmYtMzk1NmM2ZmE0YmIz" TargetMode="External" /><Relationship Id="rId13" Type="http://schemas.openxmlformats.org/officeDocument/2006/relationships/hyperlink" Target="https://docs.google.com/open?id=0B8aL7M45OFh_ZjNiZjVjOGMtZjMzZS00ZjlkLWExNTktNTBmZWNlNThmMzc2" TargetMode="External" /><Relationship Id="rId14" Type="http://schemas.openxmlformats.org/officeDocument/2006/relationships/hyperlink" Target="https://docs.google.com/open?id=0B8aL7M45OFh_Zjg4YzUxM2MtMTU4Mi00Y2Y4LWJlMWItNjRkOTNkMGIwM2Zl" TargetMode="External" /><Relationship Id="rId15" Type="http://schemas.openxmlformats.org/officeDocument/2006/relationships/hyperlink" Target="https://docs.google.com/open?id=0B8aL7M45OFh_Y2U0NjBhNzAtYWMyNC00ZGFhLWI2MmEtYjA3MDUzNTVhYjE4" TargetMode="External" /><Relationship Id="rId16" Type="http://schemas.openxmlformats.org/officeDocument/2006/relationships/hyperlink" Target="https://docs.google.com/open?id=0B8aL7M45OFh_NjE0N2I4YTgtZGFmMS00YjU4LWJhYWUtYTdlMmUyNzQyNDNh"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docs.google.com/open?id=0B8aL7M45OFh_NThiZmYzZGItZGZkZC00MTU4LThkYjItMGY0NjBjMmE0ZTFh" TargetMode="External" /><Relationship Id="rId2" Type="http://schemas.openxmlformats.org/officeDocument/2006/relationships/hyperlink" Target="https://docs.google.com/open?id=0B8aL7M45OFh_VWpienQ1cEFIdHc" TargetMode="External" /><Relationship Id="rId3" Type="http://schemas.openxmlformats.org/officeDocument/2006/relationships/hyperlink" Target="https://docs.google.com/open?id=0B8aL7M45OFh_NWMxZWZlNTQtNzMxNy00ZTM4LWIzNmYtMzk1NmM2ZmE0YmIz" TargetMode="External" /><Relationship Id="rId4" Type="http://schemas.openxmlformats.org/officeDocument/2006/relationships/hyperlink" Target="https://docs.google.com/open?id=0B8aL7M45OFh_Y2U0NjBhNzAtYWMyNC00ZGFhLWI2MmEtYjA3MDUzNTVhYjE4" TargetMode="External" /><Relationship Id="rId5" Type="http://schemas.openxmlformats.org/officeDocument/2006/relationships/hyperlink" Target="https://docs.google.com/leaf?id=0B8aL7M45OFh_YzMxMmRmMzgtYTc4Yi00MjEyLWFmMTQtNDI5Y2Y5OGNiM2Ez&amp;hl=en_US" TargetMode="External" /><Relationship Id="rId6" Type="http://schemas.openxmlformats.org/officeDocument/2006/relationships/hyperlink" Target="https://docs.google.com/leaf?id=0B8aL7M45OFh_NWVlMzBhODYtOTg2Ny00NjljLWIzMmUtY2Q2ZjAzY2VjODRh&amp;hl=en_US&amp;authkey=CIXEreAI" TargetMode="External" /><Relationship Id="rId7" Type="http://schemas.openxmlformats.org/officeDocument/2006/relationships/hyperlink" Target="https://docs.google.com/leaf?id=0B8aL7M45OFh_YTc0NjNjMzMtZWMyMi00M2VlLTg5MmItYWY3ODVjYjRlZjc1&amp;hl=en&amp;authkey=CJ3DpoEB" TargetMode="External" /><Relationship Id="rId8" Type="http://schemas.openxmlformats.org/officeDocument/2006/relationships/hyperlink" Target="https://docs.google.com/leaf?id=0B8aL7M45OFh_MmQ5NjdkN2MtYmExYi00YzI3LWJlNWMtN2YxZWMxZGJkZjQ4&amp;hl=en_US&amp;authkey=CPunlMYO" TargetMode="External" /><Relationship Id="rId9" Type="http://schemas.openxmlformats.org/officeDocument/2006/relationships/hyperlink" Target="https://docs.google.com/open?id=0B8aL7M45OFh_VDFNdGJEQ3hSSm1iVjA0WTAwTVlEUQ" TargetMode="External" /><Relationship Id="rId10" Type="http://schemas.openxmlformats.org/officeDocument/2006/relationships/hyperlink" Target="https://docs.google.com/open?id=0B8aL7M45OFh_MzE0N2I4MmUtNTEwMC00NDg3LWFhZDgtODBlZGFhMTgxYTgy" TargetMode="External" /><Relationship Id="rId11" Type="http://schemas.openxmlformats.org/officeDocument/2006/relationships/hyperlink" Target="https://docs.google.com/open?id=0B8aL7M45OFh_UkV3eXp0bkctZ2c" TargetMode="External" /><Relationship Id="rId12" Type="http://schemas.openxmlformats.org/officeDocument/2006/relationships/hyperlink" Target="https://docs.google.com/open?id=0B8aL7M45OFh_MDVkYWZkZGMtMzQ1Yy00ODI4LTg5N2QtZDAxMDQ4NzM2M2E5" TargetMode="External" /><Relationship Id="rId13" Type="http://schemas.openxmlformats.org/officeDocument/2006/relationships/hyperlink" Target="https://docs.google.com/open?id=0B8aL7M45OFh_SVFoOHhUMURSS2lEVEh4U3VCUllzdw" TargetMode="External" /><Relationship Id="rId14" Type="http://schemas.openxmlformats.org/officeDocument/2006/relationships/hyperlink" Target="https://docs.google.com/file/d/0B8aL7M45OFh_bndfVUM5WUF4dm8/edit" TargetMode="External" /><Relationship Id="rId15" Type="http://schemas.openxmlformats.org/officeDocument/2006/relationships/hyperlink" Target="https://docs.google.com/open?id=0B8aL7M45OFh_UDVFVHA5bTlRdXFJRkhDcWlrRDFhZw" TargetMode="External" /><Relationship Id="rId16" Type="http://schemas.openxmlformats.org/officeDocument/2006/relationships/hyperlink" Target="https://docs.google.com/open?id=0B8aL7M45OFh_c2VPYTVqV19hQkk" TargetMode="External" /><Relationship Id="rId17" Type="http://schemas.openxmlformats.org/officeDocument/2006/relationships/hyperlink" Target="https://docs.google.com/open?id=0B8aL7M45OFh_ZWNlNzhmMjUtZTFmZC00ZGUxLWJlODUtN2Y1ZWUyNzJjMzE2" TargetMode="External" /><Relationship Id="rId18" Type="http://schemas.openxmlformats.org/officeDocument/2006/relationships/hyperlink" Target="https://docs.google.com/file/d/0B8aL7M45OFh_OWthNFlmaElFMHM/edit" TargetMode="External" /><Relationship Id="rId19" Type="http://schemas.openxmlformats.org/officeDocument/2006/relationships/hyperlink" Target="https://docs.google.com/open?id=0B8aL7M45OFh_ZmRienpzSlBROWVxNzhUY1hPNmZGUQ" TargetMode="External" /><Relationship Id="rId20" Type="http://schemas.openxmlformats.org/officeDocument/2006/relationships/hyperlink" Target="https://docs.google.com/open?id=0B8aL7M45OFh_cEdnWFRTX3NYSmM" TargetMode="External" /><Relationship Id="rId21" Type="http://schemas.openxmlformats.org/officeDocument/2006/relationships/hyperlink" Target="https://docs.google.com/open?id=0B8aL7M45OFh_Zjg4YzUxM2MtMTU4Mi00Y2Y4LWJlMWItNjRkOTNkMGIwM2Zl" TargetMode="External" /><Relationship Id="rId22" Type="http://schemas.openxmlformats.org/officeDocument/2006/relationships/hyperlink" Target="https://docs.google.com/open?id=0B8aL7M45OFh_YVJTM1dFODdlSGM" TargetMode="External" /><Relationship Id="rId23" Type="http://schemas.openxmlformats.org/officeDocument/2006/relationships/hyperlink" Target="https://docs.google.com/open?id=0B8aL7M45OFh_NzRzNGhybzlUeFk" TargetMode="External" /><Relationship Id="rId24" Type="http://schemas.openxmlformats.org/officeDocument/2006/relationships/hyperlink" Target="https://docs.google.com/open?id=0B8aL7M45OFh_MnRjbzlVb3JTdks1UWEwWXBmMFFVZw" TargetMode="External" /><Relationship Id="rId25" Type="http://schemas.openxmlformats.org/officeDocument/2006/relationships/hyperlink" Target="https://docs.google.com/open?id=0B8aL7M45OFh_Nmh6STQ5RjBITEE" TargetMode="Externa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D101"/>
  <sheetViews>
    <sheetView workbookViewId="0" topLeftCell="A1">
      <pane ySplit="1" topLeftCell="A2" activePane="bottomLeft" state="frozen"/>
      <selection pane="bottomLeft" activeCell="B3" sqref="B3"/>
    </sheetView>
  </sheetViews>
  <sheetFormatPr defaultColWidth="14.421875" defaultRowHeight="12.75" customHeight="1"/>
  <cols>
    <col min="1" max="1" width="3.421875" style="0" customWidth="1"/>
    <col min="2" max="2" width="28.57421875" style="0" customWidth="1"/>
    <col min="3" max="3" width="8.8515625" style="0" customWidth="1"/>
    <col min="4" max="20" width="17.28125" style="0" customWidth="1"/>
  </cols>
  <sheetData>
    <row r="1" spans="1:4" ht="12.75">
      <c r="A1" s="34" t="s">
        <v>0</v>
      </c>
      <c r="B1" s="34" t="s">
        <v>144</v>
      </c>
      <c r="C1" s="36" t="s">
        <v>145</v>
      </c>
      <c r="D1" s="19"/>
    </row>
    <row r="2" spans="1:4" ht="12.75">
      <c r="A2" s="40">
        <v>2013</v>
      </c>
      <c r="B2" s="42"/>
      <c r="C2" s="44"/>
      <c r="D2" s="19"/>
    </row>
    <row r="3" spans="1:4" ht="12.75">
      <c r="A3" s="34">
        <v>1</v>
      </c>
      <c r="B3" s="46" t="s">
        <v>152</v>
      </c>
      <c r="C3" s="48"/>
      <c r="D3" s="19"/>
    </row>
    <row r="4" spans="1:4" ht="12.75">
      <c r="A4" s="135" t="str">
        <f aca="true" t="shared" si="0" ref="A4:A65">A3+1</f>
        <v>2</v>
      </c>
      <c r="B4" s="8" t="s">
        <v>480</v>
      </c>
      <c r="C4" s="48"/>
      <c r="D4" s="19"/>
    </row>
    <row r="5" spans="1:4" ht="12.75">
      <c r="A5" s="135" t="str">
        <f t="shared" si="0"/>
        <v>3</v>
      </c>
      <c r="B5" s="46" t="s">
        <v>244</v>
      </c>
      <c r="C5" s="48"/>
      <c r="D5" s="19"/>
    </row>
    <row r="6" spans="1:4" ht="12.75">
      <c r="A6" s="135" t="str">
        <f t="shared" si="0"/>
        <v>4</v>
      </c>
      <c r="B6" s="123" t="s">
        <v>487</v>
      </c>
      <c r="C6" s="48"/>
      <c r="D6" s="19"/>
    </row>
    <row r="7" spans="1:4" ht="12.75">
      <c r="A7" s="135" t="str">
        <f t="shared" si="0"/>
        <v>5</v>
      </c>
      <c r="B7" s="140" t="s">
        <v>57</v>
      </c>
      <c r="C7" s="142">
        <v>41319</v>
      </c>
      <c r="D7" s="19"/>
    </row>
    <row r="8" spans="1:4" ht="12.75">
      <c r="A8" s="135" t="str">
        <f t="shared" si="0"/>
        <v>6</v>
      </c>
      <c r="B8" s="46" t="s">
        <v>506</v>
      </c>
      <c r="C8" s="142">
        <v>41318</v>
      </c>
      <c r="D8" s="19"/>
    </row>
    <row r="9" spans="1:4" ht="12.75">
      <c r="A9" s="135" t="str">
        <f t="shared" si="0"/>
        <v>7</v>
      </c>
      <c r="B9" s="140" t="s">
        <v>508</v>
      </c>
      <c r="C9" s="48"/>
      <c r="D9" s="19"/>
    </row>
    <row r="10" spans="1:4" ht="12.75">
      <c r="A10" s="135" t="str">
        <f t="shared" si="0"/>
        <v>8</v>
      </c>
      <c r="B10" s="8" t="s">
        <v>260</v>
      </c>
      <c r="C10" s="48"/>
      <c r="D10" s="19"/>
    </row>
    <row r="11" spans="1:4" ht="12.75">
      <c r="A11" s="135" t="str">
        <f t="shared" si="0"/>
        <v>9</v>
      </c>
      <c r="B11" s="8" t="s">
        <v>170</v>
      </c>
      <c r="C11" s="48"/>
      <c r="D11" s="19"/>
    </row>
    <row r="12" spans="1:4" ht="12.75">
      <c r="A12" s="135" t="str">
        <f t="shared" si="0"/>
        <v>10</v>
      </c>
      <c r="B12" s="46" t="s">
        <v>510</v>
      </c>
      <c r="C12" s="48"/>
      <c r="D12" s="19"/>
    </row>
    <row r="13" spans="1:4" ht="12.75">
      <c r="A13" s="135" t="str">
        <f t="shared" si="0"/>
        <v>11</v>
      </c>
      <c r="B13" s="46" t="s">
        <v>512</v>
      </c>
      <c r="C13" s="48"/>
      <c r="D13" s="19"/>
    </row>
    <row r="14" spans="1:4" ht="12.75">
      <c r="A14" s="135" t="str">
        <f t="shared" si="0"/>
        <v>12</v>
      </c>
      <c r="B14" s="8" t="s">
        <v>513</v>
      </c>
      <c r="C14" s="48"/>
      <c r="D14" s="19"/>
    </row>
    <row r="15" spans="1:4" ht="12.75">
      <c r="A15" s="135" t="str">
        <f t="shared" si="0"/>
        <v>13</v>
      </c>
      <c r="B15" s="123" t="s">
        <v>515</v>
      </c>
      <c r="C15" s="198">
        <v>41372</v>
      </c>
      <c r="D15" s="19"/>
    </row>
    <row r="16" spans="1:4" ht="12.75">
      <c r="A16" s="135" t="str">
        <f t="shared" si="0"/>
        <v>14</v>
      </c>
      <c r="B16" s="46" t="s">
        <v>638</v>
      </c>
      <c r="C16" s="48"/>
      <c r="D16" s="19"/>
    </row>
    <row r="17" spans="1:4" ht="12.75">
      <c r="A17" s="135" t="str">
        <f t="shared" si="0"/>
        <v>15</v>
      </c>
      <c r="B17" s="46" t="s">
        <v>639</v>
      </c>
      <c r="C17" s="48"/>
      <c r="D17" s="19"/>
    </row>
    <row r="18" spans="1:4" ht="12.75">
      <c r="A18" s="135" t="str">
        <f t="shared" si="0"/>
        <v>16</v>
      </c>
      <c r="B18" s="46" t="s">
        <v>640</v>
      </c>
      <c r="C18" s="214" t="s">
        <v>134</v>
      </c>
      <c r="D18" s="19"/>
    </row>
    <row r="19" spans="1:4" ht="12.75">
      <c r="A19" s="135" t="str">
        <f t="shared" si="0"/>
        <v>17</v>
      </c>
      <c r="B19" s="8" t="s">
        <v>675</v>
      </c>
      <c r="C19" s="48"/>
      <c r="D19" s="19"/>
    </row>
    <row r="20" spans="1:4" ht="12.75">
      <c r="A20" s="135" t="str">
        <f t="shared" si="0"/>
        <v>18</v>
      </c>
      <c r="B20" s="46" t="s">
        <v>676</v>
      </c>
      <c r="C20" s="48"/>
      <c r="D20" s="19"/>
    </row>
    <row r="21" spans="1:4" ht="12.75">
      <c r="A21" s="135" t="str">
        <f t="shared" si="0"/>
        <v>19</v>
      </c>
      <c r="B21" s="46" t="s">
        <v>677</v>
      </c>
      <c r="C21" s="142">
        <v>41407</v>
      </c>
      <c r="D21" s="19"/>
    </row>
    <row r="22" spans="1:4" ht="12.75">
      <c r="A22" s="135" t="str">
        <f t="shared" si="0"/>
        <v>20</v>
      </c>
      <c r="B22" s="46" t="s">
        <v>680</v>
      </c>
      <c r="C22" s="142">
        <v>41407</v>
      </c>
      <c r="D22" s="19"/>
    </row>
    <row r="23" spans="1:4" ht="12.75">
      <c r="A23" s="135" t="str">
        <f t="shared" si="0"/>
        <v>21</v>
      </c>
      <c r="B23" s="46" t="s">
        <v>682</v>
      </c>
      <c r="C23" s="142">
        <v>41407</v>
      </c>
      <c r="D23" s="19"/>
    </row>
    <row r="24" spans="1:4" ht="12.75">
      <c r="A24" s="135" t="str">
        <f t="shared" si="0"/>
        <v>22</v>
      </c>
      <c r="B24" s="46" t="s">
        <v>683</v>
      </c>
      <c r="C24" s="142">
        <v>41407</v>
      </c>
      <c r="D24" s="19"/>
    </row>
    <row r="25" spans="1:4" ht="12.75">
      <c r="A25" s="135" t="str">
        <f t="shared" si="0"/>
        <v>23</v>
      </c>
      <c r="B25" s="46" t="s">
        <v>684</v>
      </c>
      <c r="C25" s="142">
        <v>41407</v>
      </c>
      <c r="D25" s="19"/>
    </row>
    <row r="26" spans="1:4" ht="12.75">
      <c r="A26" s="135" t="str">
        <f t="shared" si="0"/>
        <v>24</v>
      </c>
      <c r="B26" s="46" t="s">
        <v>685</v>
      </c>
      <c r="C26" s="142">
        <v>41407</v>
      </c>
      <c r="D26" s="19"/>
    </row>
    <row r="27" spans="1:4" ht="12.75">
      <c r="A27" s="135" t="str">
        <f t="shared" si="0"/>
        <v>25</v>
      </c>
      <c r="B27" s="46" t="s">
        <v>496</v>
      </c>
      <c r="C27" s="142">
        <v>41407</v>
      </c>
      <c r="D27" s="19"/>
    </row>
    <row r="28" spans="1:4" ht="12.75">
      <c r="A28" s="135" t="str">
        <f t="shared" si="0"/>
        <v>26</v>
      </c>
      <c r="B28" s="46" t="s">
        <v>686</v>
      </c>
      <c r="C28" s="142">
        <v>41407</v>
      </c>
      <c r="D28" s="19"/>
    </row>
    <row r="29" spans="1:4" ht="12.75">
      <c r="A29" s="135" t="str">
        <f t="shared" si="0"/>
        <v>27</v>
      </c>
      <c r="B29" s="123" t="s">
        <v>668</v>
      </c>
      <c r="C29" s="142">
        <v>41407</v>
      </c>
      <c r="D29" s="19"/>
    </row>
    <row r="30" spans="1:4" ht="12.75">
      <c r="A30" s="135" t="str">
        <f t="shared" si="0"/>
        <v>28</v>
      </c>
      <c r="B30" s="46" t="s">
        <v>688</v>
      </c>
      <c r="C30" s="142">
        <v>41407</v>
      </c>
      <c r="D30" s="19"/>
    </row>
    <row r="31" spans="1:4" ht="12.75">
      <c r="A31" s="135" t="str">
        <f t="shared" si="0"/>
        <v>29</v>
      </c>
      <c r="B31" s="46" t="s">
        <v>607</v>
      </c>
      <c r="C31" s="142">
        <v>41407</v>
      </c>
      <c r="D31" s="19"/>
    </row>
    <row r="32" spans="1:4" ht="12.75">
      <c r="A32" s="135" t="str">
        <f t="shared" si="0"/>
        <v>30</v>
      </c>
      <c r="B32" s="46" t="s">
        <v>605</v>
      </c>
      <c r="C32" s="142">
        <v>41407</v>
      </c>
      <c r="D32" s="19"/>
    </row>
    <row r="33" spans="1:4" ht="12.75">
      <c r="A33" s="135" t="str">
        <f t="shared" si="0"/>
        <v>31</v>
      </c>
      <c r="B33" s="46" t="s">
        <v>690</v>
      </c>
      <c r="C33" s="142">
        <v>41407</v>
      </c>
      <c r="D33" s="19"/>
    </row>
    <row r="34" spans="1:4" ht="12.75">
      <c r="A34" s="135" t="str">
        <f t="shared" si="0"/>
        <v>32</v>
      </c>
      <c r="B34" s="46" t="s">
        <v>693</v>
      </c>
      <c r="C34" s="142">
        <v>41407</v>
      </c>
      <c r="D34" s="19"/>
    </row>
    <row r="35" spans="1:4" ht="12.75">
      <c r="A35" s="135" t="str">
        <f t="shared" si="0"/>
        <v>33</v>
      </c>
      <c r="B35" s="123" t="s">
        <v>541</v>
      </c>
      <c r="C35" s="48"/>
      <c r="D35" s="19"/>
    </row>
    <row r="36" spans="1:4" ht="12.75">
      <c r="A36" s="135" t="str">
        <f t="shared" si="0"/>
        <v>34</v>
      </c>
      <c r="B36" s="8" t="s">
        <v>539</v>
      </c>
      <c r="C36" s="48"/>
      <c r="D36" s="19"/>
    </row>
    <row r="37" spans="1:4" ht="12.75">
      <c r="A37" s="135" t="str">
        <f t="shared" si="0"/>
        <v>35</v>
      </c>
      <c r="B37" s="46" t="s">
        <v>698</v>
      </c>
      <c r="C37" s="48"/>
      <c r="D37" s="19"/>
    </row>
    <row r="38" spans="1:4" ht="12.75">
      <c r="A38" s="135" t="str">
        <f t="shared" si="0"/>
        <v>36</v>
      </c>
      <c r="B38" s="46" t="s">
        <v>700</v>
      </c>
      <c r="C38" s="48"/>
      <c r="D38" s="19"/>
    </row>
    <row r="39" spans="1:4" ht="12.75">
      <c r="A39" s="135" t="str">
        <f t="shared" si="0"/>
        <v>37</v>
      </c>
      <c r="B39" s="46" t="s">
        <v>701</v>
      </c>
      <c r="C39" s="48"/>
      <c r="D39" s="19"/>
    </row>
    <row r="40" spans="1:4" ht="12.75">
      <c r="A40" s="135" t="str">
        <f t="shared" si="0"/>
        <v>38</v>
      </c>
      <c r="B40" s="123" t="s">
        <v>702</v>
      </c>
      <c r="C40" s="48"/>
      <c r="D40" s="19"/>
    </row>
    <row r="41" spans="1:4" ht="12.75">
      <c r="A41" s="135" t="str">
        <f t="shared" si="0"/>
        <v>39</v>
      </c>
      <c r="B41" s="46" t="s">
        <v>707</v>
      </c>
      <c r="C41" s="48"/>
      <c r="D41" s="19"/>
    </row>
    <row r="42" spans="1:4" ht="12.75">
      <c r="A42" s="135" t="str">
        <f t="shared" si="0"/>
        <v>40</v>
      </c>
      <c r="B42" s="8" t="s">
        <v>42</v>
      </c>
      <c r="C42" s="48"/>
      <c r="D42" s="19"/>
    </row>
    <row r="43" spans="1:4" ht="12.75">
      <c r="A43" s="135" t="str">
        <f t="shared" si="0"/>
        <v>41</v>
      </c>
      <c r="B43" s="123" t="s">
        <v>710</v>
      </c>
      <c r="C43" s="48"/>
      <c r="D43" s="19"/>
    </row>
    <row r="44" spans="1:4" ht="12.75">
      <c r="A44" s="135" t="str">
        <f t="shared" si="0"/>
        <v>42</v>
      </c>
      <c r="B44" s="46" t="s">
        <v>573</v>
      </c>
      <c r="C44" s="48"/>
      <c r="D44" s="19"/>
    </row>
    <row r="45" spans="1:4" ht="12.75">
      <c r="A45" s="135" t="str">
        <f t="shared" si="0"/>
        <v>43</v>
      </c>
      <c r="B45" s="46" t="s">
        <v>715</v>
      </c>
      <c r="C45" s="142">
        <v>41499</v>
      </c>
      <c r="D45" s="19"/>
    </row>
    <row r="46" spans="1:4" ht="12.75">
      <c r="A46" s="135" t="str">
        <f t="shared" si="0"/>
        <v>44</v>
      </c>
      <c r="B46" s="46" t="s">
        <v>699</v>
      </c>
      <c r="C46" s="142">
        <v>41499</v>
      </c>
      <c r="D46" s="19"/>
    </row>
    <row r="47" spans="1:4" ht="12.75">
      <c r="A47" s="135" t="str">
        <f t="shared" si="0"/>
        <v>45</v>
      </c>
      <c r="B47" s="46" t="s">
        <v>557</v>
      </c>
      <c r="C47" s="142">
        <v>41499</v>
      </c>
      <c r="D47" s="19"/>
    </row>
    <row r="48" spans="1:4" ht="12.75">
      <c r="A48" s="135" t="str">
        <f t="shared" si="0"/>
        <v>46</v>
      </c>
      <c r="B48" s="123" t="s">
        <v>716</v>
      </c>
      <c r="C48" s="142">
        <v>41499</v>
      </c>
      <c r="D48" s="19"/>
    </row>
    <row r="49" spans="1:4" ht="12.75">
      <c r="A49" s="135" t="str">
        <f t="shared" si="0"/>
        <v>47</v>
      </c>
      <c r="B49" s="46" t="s">
        <v>719</v>
      </c>
      <c r="C49" s="198">
        <v>41530</v>
      </c>
      <c r="D49" s="19"/>
    </row>
    <row r="50" spans="1:4" ht="12.75">
      <c r="A50" s="135" t="str">
        <f t="shared" si="0"/>
        <v>48</v>
      </c>
      <c r="B50" s="46" t="s">
        <v>276</v>
      </c>
      <c r="C50" s="198">
        <v>41530</v>
      </c>
      <c r="D50" s="19"/>
    </row>
    <row r="51" spans="1:4" ht="12.75">
      <c r="A51" s="135" t="str">
        <f t="shared" si="0"/>
        <v>49</v>
      </c>
      <c r="B51" s="46" t="s">
        <v>272</v>
      </c>
      <c r="C51" s="198">
        <v>41530</v>
      </c>
      <c r="D51" s="19"/>
    </row>
    <row r="52" spans="1:4" ht="12.75">
      <c r="A52" s="135" t="str">
        <f t="shared" si="0"/>
        <v>50</v>
      </c>
      <c r="B52" s="126" t="str">
        <f>HYPERLINK("https://docs.google.com/file/d/0B8aL7M45OFh_cGVGZ2l6cFdULVE/edit?usp=sharing","Crocs club digital interface and data routing")</f>
        <v>Crocs club digital interface and data routing</v>
      </c>
      <c r="C52" s="198">
        <v>41548</v>
      </c>
      <c r="D52" s="19"/>
    </row>
    <row r="53" spans="1:4" ht="12.75">
      <c r="A53" s="135" t="str">
        <f t="shared" si="0"/>
        <v>51</v>
      </c>
      <c r="B53" s="46" t="s">
        <v>723</v>
      </c>
      <c r="C53" s="198">
        <v>41548</v>
      </c>
      <c r="D53" s="19"/>
    </row>
    <row r="54" spans="1:4" ht="12.75">
      <c r="A54" s="135" t="str">
        <f t="shared" si="0"/>
        <v>52</v>
      </c>
      <c r="B54" s="46" t="s">
        <v>724</v>
      </c>
      <c r="C54" s="198">
        <v>41548</v>
      </c>
      <c r="D54" s="19"/>
    </row>
    <row r="55" spans="1:4" ht="12.75">
      <c r="A55" s="135" t="str">
        <f t="shared" si="0"/>
        <v>53</v>
      </c>
      <c r="B55" s="126" t="str">
        <f>HYPERLINK("https://docs.google.com/file/d/0B8aL7M45OFh_bndfVUM5WUF4dm8/edit","Improved RMA Messaging")</f>
        <v>Improved RMA Messaging</v>
      </c>
      <c r="C55" s="198">
        <v>41548</v>
      </c>
      <c r="D55" s="19"/>
    </row>
    <row r="56" spans="1:4" ht="12.75">
      <c r="A56" s="135" t="str">
        <f t="shared" si="0"/>
        <v>54</v>
      </c>
      <c r="B56" s="123" t="s">
        <v>727</v>
      </c>
      <c r="C56" s="7"/>
      <c r="D56" s="19"/>
    </row>
    <row r="57" spans="1:4" ht="12.75">
      <c r="A57" s="135" t="str">
        <f t="shared" si="0"/>
        <v>55</v>
      </c>
      <c r="B57" s="46" t="s">
        <v>729</v>
      </c>
      <c r="C57" s="7"/>
      <c r="D57" s="19"/>
    </row>
    <row r="58" spans="1:4" ht="12.75">
      <c r="A58" s="135" t="str">
        <f t="shared" si="0"/>
        <v>56</v>
      </c>
      <c r="B58" s="46" t="s">
        <v>730</v>
      </c>
      <c r="C58" s="7"/>
      <c r="D58" s="19"/>
    </row>
    <row r="59" spans="1:4" ht="12.75">
      <c r="A59" s="135" t="str">
        <f t="shared" si="0"/>
        <v>57</v>
      </c>
      <c r="B59" s="152" t="str">
        <f>HYPERLINK("https://docs.google.com/leaf?id=0B8aL7M45OFh_NWVlMzBhODYtOTg2Ny00NjljLWIzMmUtY2Q2ZjAzY2VjODRh&amp;hl=en_US&amp;authkey=CIXEreAI","BISN Triage Phase 1 (Backend)")</f>
        <v>BISN Triage Phase 1 (Backend)</v>
      </c>
      <c r="C59" s="7"/>
      <c r="D59" s="19"/>
    </row>
    <row r="60" spans="1:4" ht="12.75">
      <c r="A60" s="135" t="str">
        <f t="shared" si="0"/>
        <v>58</v>
      </c>
      <c r="B60" s="46" t="s">
        <v>285</v>
      </c>
      <c r="C60" s="198">
        <v>41548</v>
      </c>
      <c r="D60" s="19"/>
    </row>
    <row r="61" spans="1:4" ht="12.75">
      <c r="A61" s="135" t="str">
        <f t="shared" si="0"/>
        <v>59</v>
      </c>
      <c r="B61" s="46" t="s">
        <v>735</v>
      </c>
      <c r="C61" s="198">
        <v>41579</v>
      </c>
      <c r="D61" s="19"/>
    </row>
    <row r="62" spans="1:4" ht="12.75">
      <c r="A62" s="135" t="str">
        <f t="shared" si="0"/>
        <v>60</v>
      </c>
      <c r="B62" s="8" t="s">
        <v>736</v>
      </c>
      <c r="C62" s="198">
        <v>41579</v>
      </c>
      <c r="D62" s="19"/>
    </row>
    <row r="63" spans="1:4" ht="12.75">
      <c r="A63" s="135" t="str">
        <f t="shared" si="0"/>
        <v>61</v>
      </c>
      <c r="B63" s="46" t="s">
        <v>737</v>
      </c>
      <c r="C63" s="198">
        <v>41579</v>
      </c>
      <c r="D63" s="19"/>
    </row>
    <row r="64" spans="1:4" ht="12.75">
      <c r="A64" s="135" t="str">
        <f t="shared" si="0"/>
        <v>62</v>
      </c>
      <c r="B64" s="46" t="s">
        <v>711</v>
      </c>
      <c r="C64" s="198">
        <v>41579</v>
      </c>
      <c r="D64" s="19"/>
    </row>
    <row r="65" spans="1:4" ht="12.75">
      <c r="A65" s="135" t="str">
        <f t="shared" si="0"/>
        <v>63</v>
      </c>
      <c r="B65" s="126" t="str">
        <f>HYPERLINK("https://docs.google.com/document/d/1RhA0d2DdGctUOhuJ1UxbTKa2TAnPh97ZCPi4EPZH3io/edit?usp=sharing","Tablet Optimization")</f>
        <v>Tablet Optimization</v>
      </c>
      <c r="C65" s="7"/>
      <c r="D65" s="19"/>
    </row>
    <row r="66" spans="1:3" ht="12.75">
      <c r="A66" s="133"/>
      <c r="B66" s="123" t="s">
        <v>273</v>
      </c>
      <c r="C66" s="244" t="s">
        <v>741</v>
      </c>
    </row>
    <row r="67" spans="2:3" ht="12.75">
      <c r="B67" s="21"/>
      <c r="C67" s="246"/>
    </row>
    <row r="68" ht="12.75">
      <c r="C68" s="246"/>
    </row>
    <row r="69" ht="12.75">
      <c r="C69" s="246"/>
    </row>
    <row r="70" ht="12.75">
      <c r="C70" s="246"/>
    </row>
    <row r="71" ht="12.75">
      <c r="C71" s="246"/>
    </row>
    <row r="72" ht="12.75">
      <c r="C72" s="246"/>
    </row>
    <row r="73" ht="12.75">
      <c r="C73" s="246"/>
    </row>
    <row r="74" ht="12.75">
      <c r="C74" s="246"/>
    </row>
    <row r="75" ht="12.75">
      <c r="C75" s="246"/>
    </row>
    <row r="76" ht="12.75">
      <c r="C76" s="246"/>
    </row>
    <row r="77" ht="12.75">
      <c r="C77" s="246"/>
    </row>
    <row r="78" ht="12.75">
      <c r="C78" s="246"/>
    </row>
    <row r="79" ht="12.75">
      <c r="C79" s="246"/>
    </row>
    <row r="80" ht="12.75">
      <c r="C80" s="246"/>
    </row>
    <row r="81" ht="12.75">
      <c r="C81" s="246"/>
    </row>
    <row r="82" ht="12.75">
      <c r="C82" s="246"/>
    </row>
    <row r="83" ht="12.75">
      <c r="C83" s="246"/>
    </row>
    <row r="84" ht="12.75">
      <c r="C84" s="246"/>
    </row>
    <row r="85" ht="12.75">
      <c r="C85" s="246"/>
    </row>
    <row r="86" ht="12.75">
      <c r="C86" s="246"/>
    </row>
    <row r="87" ht="12.75">
      <c r="C87" s="246"/>
    </row>
    <row r="88" ht="12.75">
      <c r="C88" s="246"/>
    </row>
    <row r="89" ht="12.75">
      <c r="C89" s="246"/>
    </row>
    <row r="90" ht="12.75">
      <c r="C90" s="246"/>
    </row>
    <row r="91" ht="12.75">
      <c r="C91" s="246"/>
    </row>
    <row r="92" ht="12.75">
      <c r="C92" s="246"/>
    </row>
    <row r="93" ht="12.75">
      <c r="C93" s="246"/>
    </row>
    <row r="94" ht="12.75">
      <c r="C94" s="246"/>
    </row>
    <row r="95" ht="12.75">
      <c r="C95" s="246"/>
    </row>
    <row r="96" ht="12.75">
      <c r="C96" s="246"/>
    </row>
    <row r="97" ht="12.75">
      <c r="C97" s="246"/>
    </row>
    <row r="98" ht="12.75">
      <c r="C98" s="246"/>
    </row>
    <row r="99" ht="12.75">
      <c r="C99" s="246"/>
    </row>
    <row r="100" ht="12.75">
      <c r="C100" s="246"/>
    </row>
    <row r="101" ht="12.75">
      <c r="C101" s="246"/>
    </row>
  </sheetData>
  <mergeCells count="1">
    <mergeCell ref="A2:C2"/>
  </mergeCells>
  <dataValidations count="1">
    <dataValidation type="list" allowBlank="1" sqref="C18">
      <formula1>legend!$C$2:$C$8</formula1>
    </dataValidation>
  </dataValidations>
  <hyperlinks>
    <hyperlink ref="B52" r:id="rId1" display="https://docs.google.com/file/d/0B8aL7M45OFh_cGVGZ2l6cFdULVE/edit?usp=sharing"/>
    <hyperlink ref="B55" r:id="rId2" display="https://docs.google.com/file/d/0B8aL7M45OFh_bndfVUM5WUF4dm8/edit"/>
    <hyperlink ref="B59" r:id="rId3" display="https://docs.google.com/leaf?id=0B8aL7M45OFh_NWVlMzBhODYtOTg2Ny00NjljLWIzMmUtY2Q2ZjAzY2VjODRh&amp;hl=en_US&amp;authkey=CIXEreAI"/>
    <hyperlink ref="B65" r:id="rId4" display="https://docs.google.com/document/d/1RhA0d2DdGctUOhuJ1UxbTKa2TAnPh97ZCPi4EPZH3io/edit?usp=sharing"/>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BA219"/>
  <sheetViews>
    <sheetView workbookViewId="0" topLeftCell="A1">
      <pane xSplit="6" ySplit="1" topLeftCell="G2" activePane="bottomRight" state="frozen"/>
      <selection pane="topRight" activeCell="G1" sqref="G1"/>
      <selection pane="bottomLeft" activeCell="A2" sqref="A2"/>
      <selection pane="bottomRight" activeCell="G2" sqref="G2"/>
    </sheetView>
  </sheetViews>
  <sheetFormatPr defaultColWidth="14.421875" defaultRowHeight="12.75" customHeight="1"/>
  <cols>
    <col min="1" max="1" width="6.28125" style="0" customWidth="1"/>
    <col min="2" max="2" width="5.7109375" style="0" customWidth="1"/>
    <col min="3" max="3" width="21.421875" style="0" hidden="1" customWidth="1"/>
    <col min="4" max="4" width="14.28125" style="0" customWidth="1"/>
    <col min="5" max="5" width="29.00390625" style="0" customWidth="1"/>
    <col min="6" max="6" width="26.7109375" style="0" customWidth="1"/>
    <col min="7" max="8" width="5.57421875" style="0" hidden="1" customWidth="1"/>
    <col min="9" max="10" width="4.140625" style="0" hidden="1" customWidth="1"/>
    <col min="11" max="13" width="5.57421875" style="0" hidden="1" customWidth="1"/>
    <col min="14" max="14" width="4.140625" style="0" hidden="1" customWidth="1"/>
    <col min="15" max="17" width="5.57421875" style="0" hidden="1" customWidth="1"/>
    <col min="18" max="18" width="4.140625" style="0" hidden="1" customWidth="1"/>
    <col min="19" max="21" width="5.57421875" style="0" hidden="1" customWidth="1"/>
    <col min="22" max="22" width="7.8515625" style="0" hidden="1" customWidth="1"/>
    <col min="23" max="23" width="6.00390625" style="0" hidden="1" customWidth="1"/>
    <col min="24" max="24" width="6.7109375" style="0" hidden="1" customWidth="1"/>
    <col min="25" max="26" width="5.57421875" style="0" hidden="1" customWidth="1"/>
    <col min="27" max="27" width="6.140625" style="0" hidden="1" customWidth="1"/>
    <col min="28" max="30" width="6.8515625" style="0" hidden="1" customWidth="1"/>
    <col min="31" max="31" width="5.57421875" style="0" hidden="1" customWidth="1"/>
    <col min="32" max="34" width="6.8515625" style="0" hidden="1" customWidth="1"/>
    <col min="35" max="35" width="13.00390625" style="0" hidden="1" customWidth="1"/>
    <col min="36" max="36" width="5.57421875" style="0" hidden="1" customWidth="1"/>
    <col min="37" max="39" width="6.8515625" style="0" hidden="1" customWidth="1"/>
    <col min="40" max="40" width="4.7109375" style="0" hidden="1" customWidth="1"/>
    <col min="41" max="43" width="5.57421875" style="0" customWidth="1"/>
    <col min="44" max="45" width="4.7109375" style="0" customWidth="1"/>
    <col min="46" max="46" width="5.57421875" style="0" customWidth="1"/>
    <col min="47" max="53" width="4.8515625" style="0" customWidth="1"/>
    <col min="54" max="54" width="17.28125" style="0" customWidth="1"/>
  </cols>
  <sheetData>
    <row r="1" spans="1:53" ht="12" customHeight="1">
      <c r="A1" s="3" t="s">
        <v>5</v>
      </c>
      <c r="B1" s="3" t="s">
        <v>10</v>
      </c>
      <c r="C1" s="3" t="s">
        <v>11</v>
      </c>
      <c r="D1" s="52" t="s">
        <v>4</v>
      </c>
      <c r="E1" s="52" t="s">
        <v>18</v>
      </c>
      <c r="F1" s="52" t="s">
        <v>161</v>
      </c>
      <c r="G1" s="134">
        <v>41413</v>
      </c>
      <c r="H1" s="136" t="str">
        <f aca="true" t="shared" si="0" ref="H1:BA1">G1+7</f>
        <v>5/26</v>
      </c>
      <c r="I1" s="136" t="str">
        <f t="shared" si="0"/>
        <v>6/2</v>
      </c>
      <c r="J1" s="136" t="str">
        <f t="shared" si="0"/>
        <v>6/9</v>
      </c>
      <c r="K1" s="136" t="str">
        <f t="shared" si="0"/>
        <v>6/16</v>
      </c>
      <c r="L1" s="136" t="str">
        <f t="shared" si="0"/>
        <v>6/23</v>
      </c>
      <c r="M1" s="136" t="str">
        <f t="shared" si="0"/>
        <v>6/30</v>
      </c>
      <c r="N1" s="136" t="str">
        <f t="shared" si="0"/>
        <v>7/7</v>
      </c>
      <c r="O1" s="136" t="str">
        <f t="shared" si="0"/>
        <v>7/14</v>
      </c>
      <c r="P1" s="136" t="str">
        <f t="shared" si="0"/>
        <v>7/21</v>
      </c>
      <c r="Q1" s="136" t="str">
        <f t="shared" si="0"/>
        <v>7/28</v>
      </c>
      <c r="R1" s="136" t="str">
        <f t="shared" si="0"/>
        <v>8/4</v>
      </c>
      <c r="S1" s="136" t="str">
        <f t="shared" si="0"/>
        <v>8/11</v>
      </c>
      <c r="T1" s="136" t="str">
        <f t="shared" si="0"/>
        <v>8/18</v>
      </c>
      <c r="U1" s="136" t="str">
        <f t="shared" si="0"/>
        <v>8/25</v>
      </c>
      <c r="V1" s="136" t="str">
        <f t="shared" si="0"/>
        <v>9/1</v>
      </c>
      <c r="W1" s="136" t="str">
        <f t="shared" si="0"/>
        <v>9/8</v>
      </c>
      <c r="X1" s="136" t="str">
        <f t="shared" si="0"/>
        <v>9/15</v>
      </c>
      <c r="Y1" s="136" t="str">
        <f t="shared" si="0"/>
        <v>9/22</v>
      </c>
      <c r="Z1" s="136" t="str">
        <f t="shared" si="0"/>
        <v>9/29</v>
      </c>
      <c r="AA1" s="136" t="str">
        <f t="shared" si="0"/>
        <v>10/6</v>
      </c>
      <c r="AB1" s="136" t="str">
        <f t="shared" si="0"/>
        <v>10/13</v>
      </c>
      <c r="AC1" s="136" t="str">
        <f t="shared" si="0"/>
        <v>10/20</v>
      </c>
      <c r="AD1" s="136" t="str">
        <f t="shared" si="0"/>
        <v>10/27</v>
      </c>
      <c r="AE1" s="136" t="str">
        <f t="shared" si="0"/>
        <v>11/3</v>
      </c>
      <c r="AF1" s="136" t="str">
        <f t="shared" si="0"/>
        <v>11/10</v>
      </c>
      <c r="AG1" s="136" t="str">
        <f t="shared" si="0"/>
        <v>11/17</v>
      </c>
      <c r="AH1" s="136" t="str">
        <f t="shared" si="0"/>
        <v>11/24</v>
      </c>
      <c r="AI1" s="136" t="str">
        <f t="shared" si="0"/>
        <v>12/1</v>
      </c>
      <c r="AJ1" s="136" t="str">
        <f t="shared" si="0"/>
        <v>12/8</v>
      </c>
      <c r="AK1" s="136" t="str">
        <f t="shared" si="0"/>
        <v>12/15</v>
      </c>
      <c r="AL1" s="136" t="str">
        <f t="shared" si="0"/>
        <v>12/22</v>
      </c>
      <c r="AM1" s="136" t="str">
        <f t="shared" si="0"/>
        <v>12/29</v>
      </c>
      <c r="AN1" s="136" t="str">
        <f t="shared" si="0"/>
        <v>1/5</v>
      </c>
      <c r="AO1" s="136" t="str">
        <f t="shared" si="0"/>
        <v>1/12</v>
      </c>
      <c r="AP1" s="136" t="str">
        <f t="shared" si="0"/>
        <v>1/19</v>
      </c>
      <c r="AQ1" s="136" t="str">
        <f t="shared" si="0"/>
        <v>1/26</v>
      </c>
      <c r="AR1" s="136" t="str">
        <f t="shared" si="0"/>
        <v>2/2</v>
      </c>
      <c r="AS1" s="136" t="str">
        <f t="shared" si="0"/>
        <v>2/9</v>
      </c>
      <c r="AT1" s="136" t="str">
        <f t="shared" si="0"/>
        <v>2/16</v>
      </c>
      <c r="AU1" s="136" t="str">
        <f t="shared" si="0"/>
        <v>2/23</v>
      </c>
      <c r="AV1" s="136" t="str">
        <f t="shared" si="0"/>
        <v>3/2</v>
      </c>
      <c r="AW1" s="136" t="str">
        <f t="shared" si="0"/>
        <v>3/9</v>
      </c>
      <c r="AX1" s="136" t="str">
        <f t="shared" si="0"/>
        <v>3/16</v>
      </c>
      <c r="AY1" s="136" t="str">
        <f t="shared" si="0"/>
        <v>3/23</v>
      </c>
      <c r="AZ1" s="136" t="str">
        <f t="shared" si="0"/>
        <v>3/30</v>
      </c>
      <c r="BA1" s="136" t="str">
        <f t="shared" si="0"/>
        <v>4/6</v>
      </c>
    </row>
    <row r="2" spans="1:53" ht="12" customHeight="1">
      <c r="A2" s="13" t="s">
        <v>494</v>
      </c>
      <c r="B2" s="13" t="s">
        <v>582</v>
      </c>
      <c r="C2" s="35" t="str">
        <f aca="true" t="shared" si="1" ref="C2:C15">B2&amp;IF(LEFT(E2,5)="TOTAL","T","")</f>
        <v>dw</v>
      </c>
      <c r="D2" s="15" t="s">
        <v>47</v>
      </c>
      <c r="E2" s="15" t="s">
        <v>146</v>
      </c>
      <c r="F2" s="13" t="s">
        <v>147</v>
      </c>
      <c r="G2" s="50">
        <v>32</v>
      </c>
      <c r="H2" s="50">
        <v>32</v>
      </c>
      <c r="I2" s="50">
        <v>32</v>
      </c>
      <c r="J2" s="50">
        <v>32</v>
      </c>
      <c r="K2" s="50">
        <v>32</v>
      </c>
      <c r="L2" s="50">
        <v>9</v>
      </c>
      <c r="M2" s="50">
        <v>16</v>
      </c>
      <c r="N2" s="13">
        <v>16</v>
      </c>
      <c r="O2" s="13">
        <v>16</v>
      </c>
      <c r="P2" s="13">
        <v>16</v>
      </c>
      <c r="Q2" s="13">
        <v>16</v>
      </c>
      <c r="R2" s="13">
        <v>12</v>
      </c>
      <c r="S2" s="13">
        <v>0</v>
      </c>
      <c r="T2" s="13">
        <v>12</v>
      </c>
      <c r="U2" s="13">
        <v>6</v>
      </c>
      <c r="V2" s="13">
        <v>12</v>
      </c>
      <c r="W2" s="13">
        <v>32</v>
      </c>
      <c r="X2" s="13">
        <v>8</v>
      </c>
      <c r="Y2" s="13">
        <v>8</v>
      </c>
      <c r="Z2" s="13">
        <v>8</v>
      </c>
      <c r="AA2" s="13">
        <v>8</v>
      </c>
      <c r="AB2" s="13">
        <v>8</v>
      </c>
      <c r="AC2" s="13">
        <v>8</v>
      </c>
      <c r="AD2" s="13">
        <v>32</v>
      </c>
      <c r="AE2" s="13">
        <v>10</v>
      </c>
      <c r="AF2" s="13">
        <v>20</v>
      </c>
      <c r="AG2" s="13">
        <v>4</v>
      </c>
      <c r="AH2" s="13">
        <v>10</v>
      </c>
      <c r="AI2" s="13">
        <v>10</v>
      </c>
      <c r="AJ2" s="13">
        <v>10</v>
      </c>
      <c r="AK2" s="13">
        <v>10</v>
      </c>
      <c r="AS2" s="13">
        <v>10</v>
      </c>
      <c r="AT2" s="13">
        <v>10</v>
      </c>
      <c r="AU2" s="13">
        <v>10</v>
      </c>
      <c r="AV2" s="13">
        <v>10</v>
      </c>
      <c r="AW2" s="13">
        <v>10</v>
      </c>
      <c r="AX2" s="13">
        <v>10</v>
      </c>
      <c r="AY2" s="13">
        <v>10</v>
      </c>
      <c r="AZ2" s="13">
        <v>10</v>
      </c>
      <c r="BA2" s="13">
        <v>10</v>
      </c>
    </row>
    <row r="3" spans="1:40" ht="12" customHeight="1">
      <c r="A3" s="13" t="s">
        <v>494</v>
      </c>
      <c r="B3" s="13" t="s">
        <v>582</v>
      </c>
      <c r="C3" s="35" t="str">
        <f t="shared" si="1"/>
        <v>dw</v>
      </c>
      <c r="D3" s="15" t="s">
        <v>47</v>
      </c>
      <c r="E3" s="15" t="s">
        <v>148</v>
      </c>
      <c r="F3" s="13" t="s">
        <v>129</v>
      </c>
      <c r="G3" s="141"/>
      <c r="H3" s="141"/>
      <c r="I3" s="141"/>
      <c r="J3" s="141"/>
      <c r="K3" s="141"/>
      <c r="L3" s="50">
        <v>23</v>
      </c>
      <c r="M3" s="50">
        <v>8</v>
      </c>
      <c r="N3" s="13">
        <v>16</v>
      </c>
      <c r="O3" s="13">
        <v>16</v>
      </c>
      <c r="P3" s="13">
        <v>8</v>
      </c>
      <c r="Q3" s="13">
        <v>16</v>
      </c>
      <c r="R3" s="13">
        <v>20</v>
      </c>
      <c r="S3" s="13">
        <v>32</v>
      </c>
      <c r="T3" s="13">
        <v>20</v>
      </c>
      <c r="U3" s="13">
        <v>6</v>
      </c>
      <c r="V3" s="13">
        <v>14</v>
      </c>
      <c r="X3" s="13">
        <v>24</v>
      </c>
      <c r="Y3" s="13">
        <v>24</v>
      </c>
      <c r="Z3" s="13">
        <v>24</v>
      </c>
      <c r="AA3" s="13">
        <v>24</v>
      </c>
      <c r="AB3" s="13">
        <v>2</v>
      </c>
      <c r="AC3" s="13">
        <v>2</v>
      </c>
      <c r="AD3" s="13">
        <v>0</v>
      </c>
      <c r="AE3" s="13">
        <v>0</v>
      </c>
      <c r="AF3" s="13">
        <v>0</v>
      </c>
      <c r="AG3" s="13">
        <v>0</v>
      </c>
      <c r="AH3" s="13">
        <v>0</v>
      </c>
      <c r="AI3" s="13">
        <v>0</v>
      </c>
      <c r="AJ3" s="13">
        <v>0</v>
      </c>
      <c r="AN3" s="13">
        <v>32</v>
      </c>
    </row>
    <row r="4" spans="1:36" ht="12" customHeight="1">
      <c r="A4" s="13" t="s">
        <v>494</v>
      </c>
      <c r="B4" s="13" t="s">
        <v>582</v>
      </c>
      <c r="C4" s="35" t="str">
        <f t="shared" si="1"/>
        <v>dw</v>
      </c>
      <c r="D4" s="15" t="s">
        <v>47</v>
      </c>
      <c r="E4" s="15" t="s">
        <v>271</v>
      </c>
      <c r="F4" s="13" t="s">
        <v>626</v>
      </c>
      <c r="G4" s="141"/>
      <c r="H4" s="141"/>
      <c r="I4" s="141"/>
      <c r="J4" s="141"/>
      <c r="K4" s="141"/>
      <c r="L4" s="141"/>
      <c r="M4" s="141"/>
      <c r="AG4" s="13">
        <v>6</v>
      </c>
      <c r="AJ4" s="13">
        <v>8</v>
      </c>
    </row>
    <row r="5" spans="1:36" ht="12" customHeight="1">
      <c r="A5" s="13" t="s">
        <v>494</v>
      </c>
      <c r="B5" s="13" t="s">
        <v>582</v>
      </c>
      <c r="C5" s="35" t="str">
        <f t="shared" si="1"/>
        <v>dw</v>
      </c>
      <c r="D5" s="15" t="s">
        <v>47</v>
      </c>
      <c r="E5" s="15" t="s">
        <v>149</v>
      </c>
      <c r="G5" s="141"/>
      <c r="H5" s="141"/>
      <c r="I5" s="141"/>
      <c r="J5" s="141"/>
      <c r="K5" s="141"/>
      <c r="L5" s="50">
        <v>23</v>
      </c>
      <c r="M5" s="50">
        <v>8</v>
      </c>
      <c r="N5" s="13">
        <v>16</v>
      </c>
      <c r="O5" s="13">
        <v>16</v>
      </c>
      <c r="P5" s="13">
        <v>8</v>
      </c>
      <c r="Q5" s="13">
        <v>16</v>
      </c>
      <c r="R5" s="13">
        <v>20</v>
      </c>
      <c r="S5" s="13">
        <v>32</v>
      </c>
      <c r="T5" s="13">
        <v>20</v>
      </c>
      <c r="U5" s="13">
        <v>6</v>
      </c>
      <c r="V5" s="13">
        <v>14</v>
      </c>
      <c r="X5" s="13">
        <v>24</v>
      </c>
      <c r="Y5" s="13">
        <v>24</v>
      </c>
      <c r="Z5" s="13">
        <v>24</v>
      </c>
      <c r="AA5" s="13">
        <v>24</v>
      </c>
      <c r="AB5" s="13">
        <v>22</v>
      </c>
      <c r="AC5" s="13">
        <v>24</v>
      </c>
      <c r="AE5" s="13">
        <v>22</v>
      </c>
      <c r="AF5" s="13">
        <v>12</v>
      </c>
      <c r="AG5" s="13">
        <v>12</v>
      </c>
      <c r="AI5" s="13">
        <v>12</v>
      </c>
      <c r="AJ5" s="13">
        <v>4</v>
      </c>
    </row>
    <row r="6" spans="1:44" ht="12" customHeight="1">
      <c r="A6" s="13" t="s">
        <v>494</v>
      </c>
      <c r="B6" s="13" t="s">
        <v>582</v>
      </c>
      <c r="C6" s="35" t="str">
        <f t="shared" si="1"/>
        <v>dw</v>
      </c>
      <c r="D6" s="15" t="s">
        <v>47</v>
      </c>
      <c r="E6" s="15" t="s">
        <v>150</v>
      </c>
      <c r="G6" s="141"/>
      <c r="H6" s="141"/>
      <c r="I6" s="141"/>
      <c r="J6" s="141"/>
      <c r="K6" s="141"/>
      <c r="L6" s="50">
        <v>23</v>
      </c>
      <c r="M6" s="50">
        <v>8</v>
      </c>
      <c r="N6" s="13">
        <v>16</v>
      </c>
      <c r="O6" s="13">
        <v>16</v>
      </c>
      <c r="P6" s="13">
        <v>8</v>
      </c>
      <c r="Q6" s="13">
        <v>16</v>
      </c>
      <c r="R6" s="13">
        <v>20</v>
      </c>
      <c r="S6" s="13">
        <v>32</v>
      </c>
      <c r="T6" s="13">
        <v>20</v>
      </c>
      <c r="U6" s="13">
        <v>6</v>
      </c>
      <c r="V6" s="13">
        <v>14</v>
      </c>
      <c r="X6" s="13">
        <v>24</v>
      </c>
      <c r="Y6" s="13">
        <v>24</v>
      </c>
      <c r="Z6" s="13">
        <v>24</v>
      </c>
      <c r="AA6" s="13">
        <v>24</v>
      </c>
      <c r="AB6" s="13">
        <v>22</v>
      </c>
      <c r="AC6" s="13">
        <v>24</v>
      </c>
      <c r="AG6" s="13">
        <v>10</v>
      </c>
      <c r="AH6" s="13">
        <v>4</v>
      </c>
      <c r="AI6" s="13">
        <v>10</v>
      </c>
      <c r="AJ6" s="13">
        <v>10</v>
      </c>
      <c r="AK6" s="13">
        <v>16</v>
      </c>
      <c r="AO6" s="13">
        <v>24</v>
      </c>
      <c r="AP6" s="13">
        <v>24</v>
      </c>
      <c r="AQ6" s="13">
        <v>24</v>
      </c>
      <c r="AR6" s="13">
        <v>12</v>
      </c>
    </row>
    <row r="7" spans="1:39" ht="12" customHeight="1">
      <c r="A7" s="13" t="s">
        <v>494</v>
      </c>
      <c r="B7" s="13" t="s">
        <v>582</v>
      </c>
      <c r="C7" s="35" t="str">
        <f t="shared" si="1"/>
        <v>dw</v>
      </c>
      <c r="D7" s="15" t="s">
        <v>47</v>
      </c>
      <c r="E7" s="15" t="s">
        <v>151</v>
      </c>
      <c r="F7" s="39"/>
      <c r="G7" s="50">
        <v>0</v>
      </c>
      <c r="H7" s="50">
        <v>7</v>
      </c>
      <c r="I7" s="50">
        <v>0</v>
      </c>
      <c r="J7" s="50">
        <v>0</v>
      </c>
      <c r="K7" s="50">
        <v>0</v>
      </c>
      <c r="L7" s="50">
        <v>0</v>
      </c>
      <c r="M7" s="50">
        <v>8</v>
      </c>
      <c r="N7" s="13">
        <v>0</v>
      </c>
      <c r="O7" s="13">
        <v>0</v>
      </c>
      <c r="P7" s="13">
        <v>0</v>
      </c>
      <c r="U7" s="13">
        <v>20</v>
      </c>
      <c r="V7" s="13">
        <v>6</v>
      </c>
      <c r="AH7" s="13">
        <v>18</v>
      </c>
      <c r="AK7" s="13">
        <v>6</v>
      </c>
      <c r="AL7" s="13">
        <v>32</v>
      </c>
      <c r="AM7" s="13">
        <v>32</v>
      </c>
    </row>
    <row r="8" spans="1:53" ht="12" customHeight="1">
      <c r="A8" s="57" t="s">
        <v>494</v>
      </c>
      <c r="B8" s="57" t="s">
        <v>582</v>
      </c>
      <c r="C8" s="45" t="str">
        <f t="shared" si="1"/>
        <v>dwT</v>
      </c>
      <c r="D8" s="143" t="s">
        <v>47</v>
      </c>
      <c r="E8" s="47" t="str">
        <f>"TOTAL Avail: "&amp;D8</f>
        <v>TOTAL Avail: CMcGinnie</v>
      </c>
      <c r="F8" s="49"/>
      <c r="G8" s="51" t="str">
        <f aca="true" t="shared" si="2" ref="G8:BA8">32-SUM(G2:G7)</f>
        <v>0</v>
      </c>
      <c r="H8" s="51" t="str">
        <f t="shared" si="2"/>
        <v>-7</v>
      </c>
      <c r="I8" s="51" t="str">
        <f t="shared" si="2"/>
        <v>0</v>
      </c>
      <c r="J8" s="51" t="str">
        <f t="shared" si="2"/>
        <v>0</v>
      </c>
      <c r="K8" s="51" t="str">
        <f t="shared" si="2"/>
        <v>0</v>
      </c>
      <c r="L8" s="51" t="str">
        <f t="shared" si="2"/>
        <v>-46</v>
      </c>
      <c r="M8" s="51" t="str">
        <f t="shared" si="2"/>
        <v>-16</v>
      </c>
      <c r="N8" s="51" t="str">
        <f t="shared" si="2"/>
        <v>-32</v>
      </c>
      <c r="O8" s="51" t="str">
        <f t="shared" si="2"/>
        <v>-32</v>
      </c>
      <c r="P8" s="51" t="str">
        <f t="shared" si="2"/>
        <v>-8</v>
      </c>
      <c r="Q8" s="51" t="str">
        <f t="shared" si="2"/>
        <v>-32</v>
      </c>
      <c r="R8" s="51" t="str">
        <f t="shared" si="2"/>
        <v>-40</v>
      </c>
      <c r="S8" s="51" t="str">
        <f t="shared" si="2"/>
        <v>-64</v>
      </c>
      <c r="T8" s="51" t="str">
        <f t="shared" si="2"/>
        <v>-40</v>
      </c>
      <c r="U8" s="51" t="str">
        <f t="shared" si="2"/>
        <v>-12</v>
      </c>
      <c r="V8" s="51" t="str">
        <f t="shared" si="2"/>
        <v>-28</v>
      </c>
      <c r="W8" s="51" t="str">
        <f t="shared" si="2"/>
        <v>0</v>
      </c>
      <c r="X8" s="51" t="str">
        <f t="shared" si="2"/>
        <v>-48</v>
      </c>
      <c r="Y8" s="51" t="str">
        <f t="shared" si="2"/>
        <v>-48</v>
      </c>
      <c r="Z8" s="51" t="str">
        <f t="shared" si="2"/>
        <v>-48</v>
      </c>
      <c r="AA8" s="51" t="str">
        <f t="shared" si="2"/>
        <v>-48</v>
      </c>
      <c r="AB8" s="51" t="str">
        <f t="shared" si="2"/>
        <v>-22</v>
      </c>
      <c r="AC8" s="51" t="str">
        <f t="shared" si="2"/>
        <v>-26</v>
      </c>
      <c r="AD8" s="51" t="str">
        <f t="shared" si="2"/>
        <v>0</v>
      </c>
      <c r="AE8" s="51" t="str">
        <f t="shared" si="2"/>
        <v>0</v>
      </c>
      <c r="AF8" s="51" t="str">
        <f t="shared" si="2"/>
        <v>0</v>
      </c>
      <c r="AG8" s="51" t="str">
        <f t="shared" si="2"/>
        <v>0</v>
      </c>
      <c r="AH8" s="51" t="str">
        <f t="shared" si="2"/>
        <v>0</v>
      </c>
      <c r="AI8" s="51" t="str">
        <f t="shared" si="2"/>
        <v>0</v>
      </c>
      <c r="AJ8" s="51" t="str">
        <f t="shared" si="2"/>
        <v>0</v>
      </c>
      <c r="AK8" s="51" t="str">
        <f t="shared" si="2"/>
        <v>0</v>
      </c>
      <c r="AL8" s="51" t="str">
        <f t="shared" si="2"/>
        <v>0</v>
      </c>
      <c r="AM8" s="51" t="str">
        <f t="shared" si="2"/>
        <v>0</v>
      </c>
      <c r="AN8" s="51" t="str">
        <f t="shared" si="2"/>
        <v>0</v>
      </c>
      <c r="AO8" s="51" t="str">
        <f t="shared" si="2"/>
        <v>8</v>
      </c>
      <c r="AP8" s="51" t="str">
        <f t="shared" si="2"/>
        <v>8</v>
      </c>
      <c r="AQ8" s="51" t="str">
        <f t="shared" si="2"/>
        <v>8</v>
      </c>
      <c r="AR8" s="51" t="str">
        <f t="shared" si="2"/>
        <v>20</v>
      </c>
      <c r="AS8" s="51" t="str">
        <f t="shared" si="2"/>
        <v>22</v>
      </c>
      <c r="AT8" s="51" t="str">
        <f t="shared" si="2"/>
        <v>22</v>
      </c>
      <c r="AU8" s="51" t="str">
        <f t="shared" si="2"/>
        <v>22</v>
      </c>
      <c r="AV8" s="51" t="str">
        <f t="shared" si="2"/>
        <v>22</v>
      </c>
      <c r="AW8" s="51" t="str">
        <f t="shared" si="2"/>
        <v>22</v>
      </c>
      <c r="AX8" s="51" t="str">
        <f t="shared" si="2"/>
        <v>22</v>
      </c>
      <c r="AY8" s="51" t="str">
        <f t="shared" si="2"/>
        <v>22</v>
      </c>
      <c r="AZ8" s="51" t="str">
        <f t="shared" si="2"/>
        <v>22</v>
      </c>
      <c r="BA8" s="51" t="str">
        <f t="shared" si="2"/>
        <v>22</v>
      </c>
    </row>
    <row r="9" spans="1:53" ht="12" customHeight="1">
      <c r="A9" s="13" t="s">
        <v>494</v>
      </c>
      <c r="B9" s="13" t="s">
        <v>582</v>
      </c>
      <c r="C9" s="35" t="str">
        <f t="shared" si="1"/>
        <v>dw</v>
      </c>
      <c r="D9" s="15" t="s">
        <v>52</v>
      </c>
      <c r="E9" s="15" t="s">
        <v>146</v>
      </c>
      <c r="F9" s="15" t="s">
        <v>165</v>
      </c>
      <c r="G9" s="15">
        <v>30</v>
      </c>
      <c r="H9" s="15">
        <v>30</v>
      </c>
      <c r="I9" s="15">
        <v>32</v>
      </c>
      <c r="J9" s="15">
        <v>32</v>
      </c>
      <c r="K9" s="15">
        <v>32</v>
      </c>
      <c r="L9" s="15">
        <v>9</v>
      </c>
      <c r="M9" s="50">
        <v>16</v>
      </c>
      <c r="N9" s="13">
        <v>16</v>
      </c>
      <c r="O9" s="13">
        <v>16</v>
      </c>
      <c r="P9" s="13">
        <v>16</v>
      </c>
      <c r="Q9" s="13">
        <v>8</v>
      </c>
      <c r="R9" s="13">
        <v>24</v>
      </c>
      <c r="S9" s="13">
        <v>24</v>
      </c>
      <c r="T9" s="13">
        <v>12</v>
      </c>
      <c r="U9" s="13">
        <v>12</v>
      </c>
      <c r="V9" s="13">
        <v>12</v>
      </c>
      <c r="W9" s="13">
        <v>32</v>
      </c>
      <c r="X9" s="13">
        <v>8</v>
      </c>
      <c r="Z9" s="13">
        <v>8</v>
      </c>
      <c r="AA9" s="13">
        <v>8</v>
      </c>
      <c r="AB9" s="13">
        <v>8</v>
      </c>
      <c r="AC9" s="13">
        <v>8</v>
      </c>
      <c r="AD9" s="13">
        <v>32</v>
      </c>
      <c r="AE9" s="13">
        <v>10</v>
      </c>
      <c r="AF9" s="13">
        <v>10</v>
      </c>
      <c r="AG9" s="13">
        <v>10</v>
      </c>
      <c r="AH9" s="13">
        <v>10</v>
      </c>
      <c r="AI9" s="13">
        <v>10</v>
      </c>
      <c r="AJ9" s="13">
        <v>10</v>
      </c>
      <c r="AK9" s="13">
        <v>10</v>
      </c>
      <c r="AS9" s="13">
        <v>10</v>
      </c>
      <c r="AT9" s="13">
        <v>10</v>
      </c>
      <c r="AU9" s="13">
        <v>10</v>
      </c>
      <c r="AV9" s="13">
        <v>10</v>
      </c>
      <c r="AW9" s="13">
        <v>10</v>
      </c>
      <c r="AX9" s="13">
        <v>10</v>
      </c>
      <c r="AY9" s="13">
        <v>10</v>
      </c>
      <c r="AZ9" s="13">
        <v>10</v>
      </c>
      <c r="BA9" s="13">
        <v>10</v>
      </c>
    </row>
    <row r="10" spans="1:36" ht="12" customHeight="1">
      <c r="A10" s="13" t="s">
        <v>494</v>
      </c>
      <c r="B10" s="13" t="s">
        <v>582</v>
      </c>
      <c r="C10" s="35" t="str">
        <f t="shared" si="1"/>
        <v>dw</v>
      </c>
      <c r="D10" s="15" t="s">
        <v>52</v>
      </c>
      <c r="E10" s="15" t="s">
        <v>149</v>
      </c>
      <c r="F10" s="15" t="s">
        <v>165</v>
      </c>
      <c r="G10" s="39"/>
      <c r="H10" s="39"/>
      <c r="I10" s="39"/>
      <c r="J10" s="39"/>
      <c r="K10" s="39"/>
      <c r="L10" s="15">
        <v>23</v>
      </c>
      <c r="M10" s="50">
        <v>8</v>
      </c>
      <c r="N10" s="13">
        <v>16</v>
      </c>
      <c r="O10" s="13">
        <v>16</v>
      </c>
      <c r="P10" s="13">
        <v>16</v>
      </c>
      <c r="Q10" s="13">
        <v>8</v>
      </c>
      <c r="R10" s="13">
        <v>8</v>
      </c>
      <c r="S10" s="13">
        <v>8</v>
      </c>
      <c r="T10" s="13">
        <v>20</v>
      </c>
      <c r="U10" s="13">
        <v>20</v>
      </c>
      <c r="V10" s="13">
        <v>14</v>
      </c>
      <c r="X10" s="13">
        <v>24</v>
      </c>
      <c r="Z10" s="13">
        <v>18</v>
      </c>
      <c r="AA10" s="13">
        <v>18</v>
      </c>
      <c r="AB10" s="13">
        <v>24</v>
      </c>
      <c r="AC10" s="13">
        <v>24</v>
      </c>
      <c r="AE10" s="13">
        <v>22</v>
      </c>
      <c r="AF10" s="13">
        <v>12</v>
      </c>
      <c r="AG10" s="13">
        <v>12</v>
      </c>
      <c r="AI10" s="13">
        <v>12</v>
      </c>
      <c r="AJ10" s="13">
        <v>12</v>
      </c>
    </row>
    <row r="11" spans="1:44" ht="12" customHeight="1">
      <c r="A11" s="13" t="s">
        <v>494</v>
      </c>
      <c r="B11" s="13" t="s">
        <v>582</v>
      </c>
      <c r="C11" s="35" t="str">
        <f t="shared" si="1"/>
        <v>dw</v>
      </c>
      <c r="D11" s="15" t="s">
        <v>52</v>
      </c>
      <c r="E11" s="15" t="s">
        <v>168</v>
      </c>
      <c r="F11" s="39"/>
      <c r="G11" s="15">
        <v>0</v>
      </c>
      <c r="H11" s="15">
        <v>0</v>
      </c>
      <c r="I11" s="15">
        <v>0</v>
      </c>
      <c r="J11" s="15">
        <v>0</v>
      </c>
      <c r="K11" s="15">
        <v>0</v>
      </c>
      <c r="L11" s="15">
        <v>0</v>
      </c>
      <c r="M11" s="15">
        <v>0</v>
      </c>
      <c r="N11" s="13">
        <v>0</v>
      </c>
      <c r="O11" s="13">
        <v>0</v>
      </c>
      <c r="P11" s="13">
        <v>0</v>
      </c>
      <c r="AF11" s="13">
        <v>10</v>
      </c>
      <c r="AG11" s="13">
        <v>10</v>
      </c>
      <c r="AH11" s="13">
        <v>10</v>
      </c>
      <c r="AI11" s="13">
        <v>10</v>
      </c>
      <c r="AJ11" s="13">
        <v>10</v>
      </c>
      <c r="AK11" s="13">
        <v>22</v>
      </c>
      <c r="AN11" s="13">
        <v>24</v>
      </c>
      <c r="AO11" s="13">
        <v>24</v>
      </c>
      <c r="AP11" s="13">
        <v>24</v>
      </c>
      <c r="AQ11" s="13">
        <v>24</v>
      </c>
      <c r="AR11" s="13">
        <v>12</v>
      </c>
    </row>
    <row r="12" spans="1:39" ht="12" customHeight="1">
      <c r="A12" s="13" t="s">
        <v>494</v>
      </c>
      <c r="B12" s="13" t="s">
        <v>582</v>
      </c>
      <c r="C12" s="35" t="str">
        <f t="shared" si="1"/>
        <v>dw</v>
      </c>
      <c r="D12" s="15" t="s">
        <v>52</v>
      </c>
      <c r="E12" s="15" t="s">
        <v>151</v>
      </c>
      <c r="F12" s="39"/>
      <c r="G12" s="50">
        <v>0</v>
      </c>
      <c r="H12" s="50">
        <v>7</v>
      </c>
      <c r="I12" s="50">
        <v>0</v>
      </c>
      <c r="J12" s="50">
        <v>0</v>
      </c>
      <c r="K12" s="50">
        <v>0</v>
      </c>
      <c r="L12" s="50">
        <v>0</v>
      </c>
      <c r="M12" s="50">
        <v>8</v>
      </c>
      <c r="N12" s="13">
        <v>0</v>
      </c>
      <c r="O12" s="13">
        <v>0</v>
      </c>
      <c r="P12" s="13">
        <v>0</v>
      </c>
      <c r="Q12" s="13">
        <v>16</v>
      </c>
      <c r="V12" s="13">
        <v>6</v>
      </c>
      <c r="Y12" s="13">
        <v>32</v>
      </c>
      <c r="Z12" s="13">
        <v>6</v>
      </c>
      <c r="AA12" s="13">
        <v>6</v>
      </c>
      <c r="AH12" s="13">
        <v>12</v>
      </c>
      <c r="AL12" s="13">
        <v>32</v>
      </c>
      <c r="AM12" s="13">
        <v>32</v>
      </c>
    </row>
    <row r="13" spans="1:53" ht="12.75">
      <c r="A13" s="45" t="str">
        <f>A12</f>
        <v>dev</v>
      </c>
      <c r="B13" s="57" t="s">
        <v>582</v>
      </c>
      <c r="C13" s="45" t="str">
        <f t="shared" si="1"/>
        <v>dwT</v>
      </c>
      <c r="D13" s="70" t="str">
        <f>D12</f>
        <v>AJuretus</v>
      </c>
      <c r="E13" s="47" t="str">
        <f>"TOTAL Avail: "&amp;D13</f>
        <v>TOTAL Avail: AJuretus</v>
      </c>
      <c r="F13" s="49"/>
      <c r="G13" s="51" t="str">
        <f aca="true" t="shared" si="3" ref="G13:BA13">32-SUM(G9:G12)</f>
        <v>2</v>
      </c>
      <c r="H13" s="51" t="str">
        <f t="shared" si="3"/>
        <v>-5</v>
      </c>
      <c r="I13" s="51" t="str">
        <f t="shared" si="3"/>
        <v>0</v>
      </c>
      <c r="J13" s="51" t="str">
        <f t="shared" si="3"/>
        <v>0</v>
      </c>
      <c r="K13" s="51" t="str">
        <f t="shared" si="3"/>
        <v>0</v>
      </c>
      <c r="L13" s="51" t="str">
        <f t="shared" si="3"/>
        <v>0</v>
      </c>
      <c r="M13" s="51" t="str">
        <f t="shared" si="3"/>
        <v>0</v>
      </c>
      <c r="N13" s="51" t="str">
        <f t="shared" si="3"/>
        <v>0</v>
      </c>
      <c r="O13" s="51" t="str">
        <f t="shared" si="3"/>
        <v>0</v>
      </c>
      <c r="P13" s="51" t="str">
        <f t="shared" si="3"/>
        <v>0</v>
      </c>
      <c r="Q13" s="51" t="str">
        <f t="shared" si="3"/>
        <v>0</v>
      </c>
      <c r="R13" s="51" t="str">
        <f t="shared" si="3"/>
        <v>0</v>
      </c>
      <c r="S13" s="51" t="str">
        <f t="shared" si="3"/>
        <v>0</v>
      </c>
      <c r="T13" s="51" t="str">
        <f t="shared" si="3"/>
        <v>0</v>
      </c>
      <c r="U13" s="51" t="str">
        <f t="shared" si="3"/>
        <v>0</v>
      </c>
      <c r="V13" s="51" t="str">
        <f t="shared" si="3"/>
        <v>0</v>
      </c>
      <c r="W13" s="51" t="str">
        <f t="shared" si="3"/>
        <v>0</v>
      </c>
      <c r="X13" s="51" t="str">
        <f t="shared" si="3"/>
        <v>0</v>
      </c>
      <c r="Y13" s="51" t="str">
        <f t="shared" si="3"/>
        <v>0</v>
      </c>
      <c r="Z13" s="51" t="str">
        <f t="shared" si="3"/>
        <v>0</v>
      </c>
      <c r="AA13" s="51" t="str">
        <f t="shared" si="3"/>
        <v>0</v>
      </c>
      <c r="AB13" s="51" t="str">
        <f t="shared" si="3"/>
        <v>0</v>
      </c>
      <c r="AC13" s="51" t="str">
        <f t="shared" si="3"/>
        <v>0</v>
      </c>
      <c r="AD13" s="51" t="str">
        <f t="shared" si="3"/>
        <v>0</v>
      </c>
      <c r="AE13" s="51" t="str">
        <f t="shared" si="3"/>
        <v>0</v>
      </c>
      <c r="AF13" s="51" t="str">
        <f t="shared" si="3"/>
        <v>0</v>
      </c>
      <c r="AG13" s="51" t="str">
        <f t="shared" si="3"/>
        <v>0</v>
      </c>
      <c r="AH13" s="51" t="str">
        <f t="shared" si="3"/>
        <v>0</v>
      </c>
      <c r="AI13" s="51" t="str">
        <f t="shared" si="3"/>
        <v>0</v>
      </c>
      <c r="AJ13" s="51" t="str">
        <f t="shared" si="3"/>
        <v>0</v>
      </c>
      <c r="AK13" s="51" t="str">
        <f t="shared" si="3"/>
        <v>0</v>
      </c>
      <c r="AL13" s="51" t="str">
        <f t="shared" si="3"/>
        <v>0</v>
      </c>
      <c r="AM13" s="51" t="str">
        <f t="shared" si="3"/>
        <v>0</v>
      </c>
      <c r="AN13" s="51" t="str">
        <f t="shared" si="3"/>
        <v>8</v>
      </c>
      <c r="AO13" s="51" t="str">
        <f t="shared" si="3"/>
        <v>8</v>
      </c>
      <c r="AP13" s="51" t="str">
        <f t="shared" si="3"/>
        <v>8</v>
      </c>
      <c r="AQ13" s="51" t="str">
        <f t="shared" si="3"/>
        <v>8</v>
      </c>
      <c r="AR13" s="51" t="str">
        <f t="shared" si="3"/>
        <v>20</v>
      </c>
      <c r="AS13" s="51" t="str">
        <f t="shared" si="3"/>
        <v>22</v>
      </c>
      <c r="AT13" s="51" t="str">
        <f t="shared" si="3"/>
        <v>22</v>
      </c>
      <c r="AU13" s="51" t="str">
        <f t="shared" si="3"/>
        <v>22</v>
      </c>
      <c r="AV13" s="51" t="str">
        <f t="shared" si="3"/>
        <v>22</v>
      </c>
      <c r="AW13" s="51" t="str">
        <f t="shared" si="3"/>
        <v>22</v>
      </c>
      <c r="AX13" s="51" t="str">
        <f t="shared" si="3"/>
        <v>22</v>
      </c>
      <c r="AY13" s="51" t="str">
        <f t="shared" si="3"/>
        <v>22</v>
      </c>
      <c r="AZ13" s="51" t="str">
        <f t="shared" si="3"/>
        <v>22</v>
      </c>
      <c r="BA13" s="51" t="str">
        <f t="shared" si="3"/>
        <v>22</v>
      </c>
    </row>
    <row r="14" spans="1:52" ht="12" customHeight="1">
      <c r="A14" s="13" t="s">
        <v>494</v>
      </c>
      <c r="B14" s="13" t="s">
        <v>585</v>
      </c>
      <c r="C14" s="35" t="str">
        <f t="shared" si="1"/>
        <v>mw</v>
      </c>
      <c r="D14" s="15" t="s">
        <v>56</v>
      </c>
      <c r="E14" s="15" t="s">
        <v>478</v>
      </c>
      <c r="F14" s="15" t="s">
        <v>549</v>
      </c>
      <c r="G14" s="15">
        <v>4</v>
      </c>
      <c r="H14" s="15">
        <v>0</v>
      </c>
      <c r="I14" s="15">
        <v>4</v>
      </c>
      <c r="J14" s="15">
        <v>8</v>
      </c>
      <c r="K14" s="15">
        <v>8</v>
      </c>
      <c r="L14" s="15">
        <v>8</v>
      </c>
      <c r="M14" s="15">
        <v>0</v>
      </c>
      <c r="N14" s="13">
        <v>8</v>
      </c>
      <c r="O14" s="13">
        <v>8</v>
      </c>
      <c r="P14" s="13">
        <v>8</v>
      </c>
      <c r="Q14" s="13">
        <v>8</v>
      </c>
      <c r="R14" s="13">
        <v>8</v>
      </c>
      <c r="S14" s="13">
        <v>8</v>
      </c>
      <c r="T14" s="13">
        <v>8</v>
      </c>
      <c r="U14" s="13">
        <v>8</v>
      </c>
      <c r="V14" s="13">
        <v>14</v>
      </c>
      <c r="W14" s="13">
        <v>16</v>
      </c>
      <c r="X14" s="13">
        <v>16</v>
      </c>
      <c r="Y14" s="13">
        <v>16</v>
      </c>
      <c r="Z14" s="13">
        <v>16</v>
      </c>
      <c r="AA14" s="13">
        <v>16</v>
      </c>
      <c r="AB14" s="13">
        <v>16</v>
      </c>
      <c r="AC14" s="13">
        <v>16</v>
      </c>
      <c r="AD14" s="13">
        <v>16</v>
      </c>
      <c r="AE14" s="13">
        <v>16</v>
      </c>
      <c r="AF14" s="13">
        <v>16</v>
      </c>
      <c r="AG14" s="13">
        <v>16</v>
      </c>
      <c r="AH14" s="13">
        <v>10</v>
      </c>
      <c r="AI14" s="13">
        <v>16</v>
      </c>
      <c r="AJ14" s="13">
        <v>16</v>
      </c>
      <c r="AK14" s="13">
        <v>24</v>
      </c>
      <c r="AN14" s="13">
        <v>16</v>
      </c>
      <c r="AO14" s="13">
        <v>16</v>
      </c>
      <c r="AP14" s="13">
        <v>16</v>
      </c>
      <c r="AQ14" s="13">
        <v>12</v>
      </c>
      <c r="AR14" s="13">
        <v>12</v>
      </c>
      <c r="AS14" s="13">
        <v>12</v>
      </c>
      <c r="AT14" s="13">
        <v>12</v>
      </c>
      <c r="AU14" s="13">
        <v>16</v>
      </c>
      <c r="AV14" s="13">
        <v>16</v>
      </c>
      <c r="AW14" s="13">
        <v>16</v>
      </c>
      <c r="AX14" s="13">
        <v>16</v>
      </c>
      <c r="AY14" s="13">
        <v>16</v>
      </c>
      <c r="AZ14" s="13">
        <v>16</v>
      </c>
    </row>
    <row r="15" spans="1:21" ht="12" customHeight="1">
      <c r="A15" s="13" t="s">
        <v>494</v>
      </c>
      <c r="B15" s="13" t="s">
        <v>585</v>
      </c>
      <c r="C15" s="35" t="str">
        <f t="shared" si="1"/>
        <v>mw</v>
      </c>
      <c r="D15" s="15" t="s">
        <v>56</v>
      </c>
      <c r="E15" s="15" t="s">
        <v>146</v>
      </c>
      <c r="F15" s="39"/>
      <c r="G15" s="15">
        <v>2</v>
      </c>
      <c r="H15" s="15">
        <v>0</v>
      </c>
      <c r="I15" s="15">
        <v>0</v>
      </c>
      <c r="J15" s="15">
        <v>6</v>
      </c>
      <c r="K15" s="15">
        <v>6</v>
      </c>
      <c r="L15" s="15">
        <v>6</v>
      </c>
      <c r="M15" s="15">
        <v>6</v>
      </c>
      <c r="N15" s="13">
        <v>6</v>
      </c>
      <c r="O15" s="13">
        <v>6</v>
      </c>
      <c r="P15" s="13">
        <v>6</v>
      </c>
      <c r="Q15" s="13">
        <v>8</v>
      </c>
      <c r="R15" s="13">
        <v>8</v>
      </c>
      <c r="S15" s="13">
        <v>8</v>
      </c>
      <c r="T15" s="13">
        <v>8</v>
      </c>
      <c r="U15" s="13">
        <v>8</v>
      </c>
    </row>
    <row r="16" spans="1:40" ht="12.75">
      <c r="A16" s="13" t="s">
        <v>494</v>
      </c>
      <c r="B16" s="13" t="s">
        <v>585</v>
      </c>
      <c r="D16" s="15" t="s">
        <v>56</v>
      </c>
      <c r="E16" s="15" t="s">
        <v>319</v>
      </c>
      <c r="F16" s="15" t="s">
        <v>642</v>
      </c>
      <c r="G16" s="39"/>
      <c r="H16" s="39"/>
      <c r="I16" s="39"/>
      <c r="J16" s="39"/>
      <c r="K16" s="39"/>
      <c r="L16" s="39"/>
      <c r="M16" s="39"/>
      <c r="AN16" s="13">
        <v>2</v>
      </c>
    </row>
    <row r="17" spans="1:46" ht="12.75">
      <c r="A17" s="13" t="s">
        <v>494</v>
      </c>
      <c r="B17" s="13" t="s">
        <v>585</v>
      </c>
      <c r="D17" s="15" t="s">
        <v>56</v>
      </c>
      <c r="E17" s="15" t="s">
        <v>484</v>
      </c>
      <c r="F17" s="39"/>
      <c r="G17" s="39"/>
      <c r="H17" s="39"/>
      <c r="I17" s="39"/>
      <c r="J17" s="39"/>
      <c r="K17" s="39"/>
      <c r="L17" s="39"/>
      <c r="M17" s="39"/>
      <c r="AQ17" s="13">
        <v>12</v>
      </c>
      <c r="AR17" s="13">
        <v>12</v>
      </c>
      <c r="AS17" s="13">
        <v>12</v>
      </c>
      <c r="AT17" s="13">
        <v>12</v>
      </c>
    </row>
    <row r="18" spans="1:52" ht="12.75">
      <c r="A18" s="13" t="s">
        <v>494</v>
      </c>
      <c r="B18" s="13" t="s">
        <v>585</v>
      </c>
      <c r="C18" s="35" t="str">
        <f aca="true" t="shared" si="4" ref="C18:C23">B18&amp;IF(LEFT(E18,5)="TOTAL","T","")</f>
        <v>mw</v>
      </c>
      <c r="D18" s="15" t="s">
        <v>56</v>
      </c>
      <c r="E18" s="15" t="s">
        <v>489</v>
      </c>
      <c r="F18" s="15" t="s">
        <v>490</v>
      </c>
      <c r="G18" s="15">
        <v>10</v>
      </c>
      <c r="H18" s="15">
        <v>0</v>
      </c>
      <c r="I18" s="15">
        <v>10</v>
      </c>
      <c r="J18" s="15">
        <v>10</v>
      </c>
      <c r="K18" s="15">
        <v>10</v>
      </c>
      <c r="L18" s="15">
        <v>10</v>
      </c>
      <c r="M18" s="15">
        <v>10</v>
      </c>
      <c r="N18" s="13">
        <v>10</v>
      </c>
      <c r="O18" s="13">
        <v>10</v>
      </c>
      <c r="P18" s="13">
        <v>14</v>
      </c>
      <c r="Q18" s="13">
        <v>14</v>
      </c>
      <c r="R18" s="13">
        <v>16</v>
      </c>
      <c r="S18" s="13">
        <v>16</v>
      </c>
      <c r="T18" s="13">
        <v>16</v>
      </c>
      <c r="U18" s="13">
        <v>16</v>
      </c>
      <c r="V18" s="13">
        <v>12</v>
      </c>
      <c r="W18" s="13">
        <v>16</v>
      </c>
      <c r="X18" s="13">
        <v>16</v>
      </c>
      <c r="Y18" s="13">
        <v>16</v>
      </c>
      <c r="Z18" s="13">
        <v>16</v>
      </c>
      <c r="AA18" s="13">
        <v>16</v>
      </c>
      <c r="AB18" s="13">
        <v>16</v>
      </c>
      <c r="AC18" s="13">
        <v>16</v>
      </c>
      <c r="AD18" s="13">
        <v>16</v>
      </c>
      <c r="AE18" s="13">
        <v>16</v>
      </c>
      <c r="AF18" s="13">
        <v>16</v>
      </c>
      <c r="AG18" s="13">
        <v>16</v>
      </c>
      <c r="AH18" s="13">
        <v>10</v>
      </c>
      <c r="AI18" s="13">
        <v>16</v>
      </c>
      <c r="AJ18" s="13">
        <v>16</v>
      </c>
      <c r="AK18" s="13">
        <v>8</v>
      </c>
      <c r="AN18" s="13">
        <v>4</v>
      </c>
      <c r="AO18" s="13">
        <v>4</v>
      </c>
      <c r="AP18" s="13">
        <v>4</v>
      </c>
      <c r="AQ18" s="13">
        <v>4</v>
      </c>
      <c r="AR18" s="13">
        <v>4</v>
      </c>
      <c r="AS18" s="13">
        <v>4</v>
      </c>
      <c r="AT18" s="13">
        <v>4</v>
      </c>
      <c r="AU18" s="13">
        <v>4</v>
      </c>
      <c r="AV18" s="13">
        <v>4</v>
      </c>
      <c r="AW18" s="13">
        <v>4</v>
      </c>
      <c r="AX18" s="13">
        <v>4</v>
      </c>
      <c r="AY18" s="13">
        <v>4</v>
      </c>
      <c r="AZ18" s="13">
        <v>4</v>
      </c>
    </row>
    <row r="19" spans="1:52" ht="12.75">
      <c r="A19" s="13" t="s">
        <v>494</v>
      </c>
      <c r="B19" s="13" t="s">
        <v>585</v>
      </c>
      <c r="C19" s="35" t="str">
        <f t="shared" si="4"/>
        <v>mw</v>
      </c>
      <c r="D19" s="15" t="s">
        <v>56</v>
      </c>
      <c r="E19" s="15" t="s">
        <v>159</v>
      </c>
      <c r="F19" s="39"/>
      <c r="G19" s="39"/>
      <c r="H19" s="39"/>
      <c r="I19" s="39"/>
      <c r="J19" s="39"/>
      <c r="K19" s="39"/>
      <c r="L19" s="39"/>
      <c r="M19" s="39"/>
      <c r="AN19" s="13">
        <v>10</v>
      </c>
      <c r="AO19" s="13">
        <v>12</v>
      </c>
      <c r="AP19" s="13">
        <v>12</v>
      </c>
      <c r="AQ19" s="13">
        <v>12</v>
      </c>
      <c r="AR19" s="13">
        <v>12</v>
      </c>
      <c r="AS19" s="13">
        <v>12</v>
      </c>
      <c r="AT19" s="13">
        <v>12</v>
      </c>
      <c r="AU19" s="13">
        <v>12</v>
      </c>
      <c r="AV19" s="13">
        <v>12</v>
      </c>
      <c r="AW19" s="13">
        <v>12</v>
      </c>
      <c r="AX19" s="13">
        <v>12</v>
      </c>
      <c r="AY19" s="13">
        <v>12</v>
      </c>
      <c r="AZ19" s="13">
        <v>12</v>
      </c>
    </row>
    <row r="20" spans="1:39" ht="12.75">
      <c r="A20" s="13" t="s">
        <v>494</v>
      </c>
      <c r="B20" s="13" t="s">
        <v>585</v>
      </c>
      <c r="C20" s="35" t="str">
        <f t="shared" si="4"/>
        <v>mw</v>
      </c>
      <c r="D20" s="15" t="s">
        <v>56</v>
      </c>
      <c r="E20" s="15" t="s">
        <v>151</v>
      </c>
      <c r="F20" s="39"/>
      <c r="G20" s="50">
        <v>0</v>
      </c>
      <c r="H20" s="50">
        <v>32</v>
      </c>
      <c r="I20" s="50">
        <v>0</v>
      </c>
      <c r="J20" s="50">
        <v>0</v>
      </c>
      <c r="K20" s="50">
        <v>0</v>
      </c>
      <c r="L20" s="50">
        <v>0</v>
      </c>
      <c r="M20" s="50">
        <v>8</v>
      </c>
      <c r="N20" s="13">
        <v>0</v>
      </c>
      <c r="O20" s="13">
        <v>0</v>
      </c>
      <c r="P20" s="13">
        <v>0</v>
      </c>
      <c r="V20" s="13">
        <v>6</v>
      </c>
      <c r="AH20" s="13">
        <v>12</v>
      </c>
      <c r="AL20" s="13">
        <v>32</v>
      </c>
      <c r="AM20" s="13">
        <v>32</v>
      </c>
    </row>
    <row r="21" spans="1:53" ht="12.75">
      <c r="A21" s="45" t="str">
        <f>A15</f>
        <v>dev</v>
      </c>
      <c r="B21" s="57" t="s">
        <v>585</v>
      </c>
      <c r="C21" s="45" t="str">
        <f t="shared" si="4"/>
        <v>mwT</v>
      </c>
      <c r="D21" s="70" t="str">
        <f>D15</f>
        <v>JLong</v>
      </c>
      <c r="E21" s="47" t="str">
        <f>"TOTAL Avail: "&amp;D21</f>
        <v>TOTAL Avail: JLong</v>
      </c>
      <c r="F21" s="49"/>
      <c r="G21" s="51" t="str">
        <f aca="true" t="shared" si="5" ref="G21:BA21">32-SUM(G14:G20)</f>
        <v>16</v>
      </c>
      <c r="H21" s="51" t="str">
        <f t="shared" si="5"/>
        <v>0</v>
      </c>
      <c r="I21" s="51" t="str">
        <f t="shared" si="5"/>
        <v>18</v>
      </c>
      <c r="J21" s="51" t="str">
        <f t="shared" si="5"/>
        <v>8</v>
      </c>
      <c r="K21" s="51" t="str">
        <f t="shared" si="5"/>
        <v>8</v>
      </c>
      <c r="L21" s="51" t="str">
        <f t="shared" si="5"/>
        <v>8</v>
      </c>
      <c r="M21" s="51" t="str">
        <f t="shared" si="5"/>
        <v>8</v>
      </c>
      <c r="N21" s="51" t="str">
        <f t="shared" si="5"/>
        <v>8</v>
      </c>
      <c r="O21" s="51" t="str">
        <f t="shared" si="5"/>
        <v>8</v>
      </c>
      <c r="P21" s="51" t="str">
        <f t="shared" si="5"/>
        <v>4</v>
      </c>
      <c r="Q21" s="51" t="str">
        <f t="shared" si="5"/>
        <v>2</v>
      </c>
      <c r="R21" s="51" t="str">
        <f t="shared" si="5"/>
        <v>0</v>
      </c>
      <c r="S21" s="51" t="str">
        <f t="shared" si="5"/>
        <v>0</v>
      </c>
      <c r="T21" s="51" t="str">
        <f t="shared" si="5"/>
        <v>0</v>
      </c>
      <c r="U21" s="51" t="str">
        <f t="shared" si="5"/>
        <v>0</v>
      </c>
      <c r="V21" s="51" t="str">
        <f t="shared" si="5"/>
        <v>0</v>
      </c>
      <c r="W21" s="51" t="str">
        <f t="shared" si="5"/>
        <v>0</v>
      </c>
      <c r="X21" s="51" t="str">
        <f t="shared" si="5"/>
        <v>0</v>
      </c>
      <c r="Y21" s="51" t="str">
        <f t="shared" si="5"/>
        <v>0</v>
      </c>
      <c r="Z21" s="51" t="str">
        <f t="shared" si="5"/>
        <v>0</v>
      </c>
      <c r="AA21" s="51" t="str">
        <f t="shared" si="5"/>
        <v>0</v>
      </c>
      <c r="AB21" s="51" t="str">
        <f t="shared" si="5"/>
        <v>0</v>
      </c>
      <c r="AC21" s="51" t="str">
        <f t="shared" si="5"/>
        <v>0</v>
      </c>
      <c r="AD21" s="51" t="str">
        <f t="shared" si="5"/>
        <v>0</v>
      </c>
      <c r="AE21" s="51" t="str">
        <f t="shared" si="5"/>
        <v>0</v>
      </c>
      <c r="AF21" s="51" t="str">
        <f t="shared" si="5"/>
        <v>0</v>
      </c>
      <c r="AG21" s="51" t="str">
        <f t="shared" si="5"/>
        <v>0</v>
      </c>
      <c r="AH21" s="51" t="str">
        <f t="shared" si="5"/>
        <v>0</v>
      </c>
      <c r="AI21" s="51" t="str">
        <f t="shared" si="5"/>
        <v>0</v>
      </c>
      <c r="AJ21" s="51" t="str">
        <f t="shared" si="5"/>
        <v>0</v>
      </c>
      <c r="AK21" s="51" t="str">
        <f t="shared" si="5"/>
        <v>0</v>
      </c>
      <c r="AL21" s="51" t="str">
        <f t="shared" si="5"/>
        <v>0</v>
      </c>
      <c r="AM21" s="51" t="str">
        <f t="shared" si="5"/>
        <v>0</v>
      </c>
      <c r="AN21" s="51" t="str">
        <f t="shared" si="5"/>
        <v>0</v>
      </c>
      <c r="AO21" s="51" t="str">
        <f t="shared" si="5"/>
        <v>0</v>
      </c>
      <c r="AP21" s="51" t="str">
        <f t="shared" si="5"/>
        <v>0</v>
      </c>
      <c r="AQ21" s="51" t="str">
        <f t="shared" si="5"/>
        <v>-8</v>
      </c>
      <c r="AR21" s="51" t="str">
        <f t="shared" si="5"/>
        <v>-8</v>
      </c>
      <c r="AS21" s="51" t="str">
        <f t="shared" si="5"/>
        <v>-8</v>
      </c>
      <c r="AT21" s="51" t="str">
        <f t="shared" si="5"/>
        <v>-8</v>
      </c>
      <c r="AU21" s="51" t="str">
        <f t="shared" si="5"/>
        <v>0</v>
      </c>
      <c r="AV21" s="51" t="str">
        <f t="shared" si="5"/>
        <v>0</v>
      </c>
      <c r="AW21" s="51" t="str">
        <f t="shared" si="5"/>
        <v>0</v>
      </c>
      <c r="AX21" s="51" t="str">
        <f t="shared" si="5"/>
        <v>0</v>
      </c>
      <c r="AY21" s="51" t="str">
        <f t="shared" si="5"/>
        <v>0</v>
      </c>
      <c r="AZ21" s="51" t="str">
        <f t="shared" si="5"/>
        <v>0</v>
      </c>
      <c r="BA21" s="51" t="str">
        <f t="shared" si="5"/>
        <v>32</v>
      </c>
    </row>
    <row r="22" spans="1:53" ht="12" customHeight="1">
      <c r="A22" s="13" t="s">
        <v>494</v>
      </c>
      <c r="B22" s="13" t="s">
        <v>588</v>
      </c>
      <c r="C22" s="35" t="str">
        <f t="shared" si="4"/>
        <v>ops</v>
      </c>
      <c r="D22" s="15" t="s">
        <v>59</v>
      </c>
      <c r="E22" s="15" t="s">
        <v>146</v>
      </c>
      <c r="F22" s="15" t="s">
        <v>165</v>
      </c>
      <c r="G22" s="15">
        <v>8</v>
      </c>
      <c r="H22" s="15">
        <v>8</v>
      </c>
      <c r="I22" s="15">
        <v>8</v>
      </c>
      <c r="J22" s="15">
        <v>2</v>
      </c>
      <c r="K22" s="15">
        <v>12</v>
      </c>
      <c r="L22" s="15">
        <v>12</v>
      </c>
      <c r="M22" s="15">
        <v>4</v>
      </c>
      <c r="N22" s="13">
        <v>12</v>
      </c>
      <c r="O22" s="13">
        <v>12</v>
      </c>
      <c r="P22" s="13">
        <v>12</v>
      </c>
      <c r="Q22" s="13">
        <v>12</v>
      </c>
      <c r="R22" s="13">
        <v>12</v>
      </c>
      <c r="S22" s="13">
        <v>12</v>
      </c>
      <c r="T22" s="13">
        <v>12</v>
      </c>
      <c r="U22" s="13">
        <v>4</v>
      </c>
      <c r="V22" s="13">
        <v>6</v>
      </c>
      <c r="W22" s="13">
        <v>4</v>
      </c>
      <c r="X22" s="13">
        <v>12</v>
      </c>
      <c r="Y22" s="13">
        <v>16</v>
      </c>
      <c r="Z22" s="13">
        <v>16</v>
      </c>
      <c r="AA22" s="13">
        <v>4</v>
      </c>
      <c r="AB22" s="13">
        <v>16</v>
      </c>
      <c r="AC22" s="13">
        <v>16</v>
      </c>
      <c r="AD22" s="13">
        <v>16</v>
      </c>
      <c r="AE22" s="13">
        <v>16</v>
      </c>
      <c r="AF22" s="13">
        <v>16</v>
      </c>
      <c r="AG22" s="13">
        <v>16</v>
      </c>
      <c r="AH22" s="13">
        <v>4</v>
      </c>
      <c r="AI22" s="13">
        <v>16</v>
      </c>
      <c r="AJ22" s="13">
        <v>16</v>
      </c>
      <c r="AK22" s="13">
        <v>8</v>
      </c>
      <c r="AN22" s="13">
        <v>12</v>
      </c>
      <c r="AO22" s="13">
        <v>12</v>
      </c>
      <c r="AP22" s="13">
        <v>12</v>
      </c>
      <c r="AQ22" s="13">
        <v>12</v>
      </c>
      <c r="AR22" s="13">
        <v>12</v>
      </c>
      <c r="AS22" s="13">
        <v>12</v>
      </c>
      <c r="AT22" s="13">
        <v>12</v>
      </c>
      <c r="AU22" s="13">
        <v>12</v>
      </c>
      <c r="AV22" s="13">
        <v>12</v>
      </c>
      <c r="AW22" s="13">
        <v>12</v>
      </c>
      <c r="AX22" s="13">
        <v>12</v>
      </c>
      <c r="AY22" s="13">
        <v>12</v>
      </c>
      <c r="AZ22" s="13">
        <v>12</v>
      </c>
      <c r="BA22" s="13">
        <v>12</v>
      </c>
    </row>
    <row r="23" spans="1:23" ht="12.75">
      <c r="A23" s="13" t="s">
        <v>494</v>
      </c>
      <c r="B23" s="13" t="s">
        <v>588</v>
      </c>
      <c r="C23" s="35" t="str">
        <f t="shared" si="4"/>
        <v>ops</v>
      </c>
      <c r="D23" s="15" t="s">
        <v>59</v>
      </c>
      <c r="E23" s="15" t="s">
        <v>546</v>
      </c>
      <c r="F23" s="15" t="s">
        <v>558</v>
      </c>
      <c r="G23" s="15">
        <v>0</v>
      </c>
      <c r="H23" s="15">
        <v>0</v>
      </c>
      <c r="I23" s="15">
        <v>1</v>
      </c>
      <c r="J23" s="15">
        <v>0</v>
      </c>
      <c r="K23" s="15">
        <v>0</v>
      </c>
      <c r="L23" s="15">
        <v>0</v>
      </c>
      <c r="M23" s="15">
        <v>0</v>
      </c>
      <c r="V23" s="13">
        <v>10</v>
      </c>
      <c r="W23" s="13">
        <v>10</v>
      </c>
    </row>
    <row r="24" spans="1:30" ht="12" customHeight="1">
      <c r="A24" s="13" t="s">
        <v>494</v>
      </c>
      <c r="B24" s="13" t="s">
        <v>588</v>
      </c>
      <c r="C24" s="13" t="s">
        <v>589</v>
      </c>
      <c r="D24" s="13" t="s">
        <v>59</v>
      </c>
      <c r="E24" s="13" t="s">
        <v>168</v>
      </c>
      <c r="O24" s="13">
        <v>0</v>
      </c>
      <c r="P24" s="15">
        <v>0</v>
      </c>
      <c r="Q24" s="15">
        <v>1</v>
      </c>
      <c r="R24" s="15">
        <v>1</v>
      </c>
      <c r="S24" s="15">
        <v>2</v>
      </c>
      <c r="T24" s="13">
        <v>2</v>
      </c>
      <c r="U24" s="13">
        <v>2</v>
      </c>
      <c r="V24" s="13">
        <v>0</v>
      </c>
      <c r="W24" s="13">
        <v>2</v>
      </c>
      <c r="X24" s="13">
        <v>2</v>
      </c>
      <c r="Y24" s="13">
        <v>0</v>
      </c>
      <c r="Z24" s="13">
        <v>0</v>
      </c>
      <c r="AA24" s="13">
        <v>0</v>
      </c>
      <c r="AB24" s="13">
        <v>0</v>
      </c>
      <c r="AC24" s="13">
        <v>0</v>
      </c>
      <c r="AD24" s="13">
        <v>0</v>
      </c>
    </row>
    <row r="25" spans="1:37" ht="12.75">
      <c r="A25" s="13" t="s">
        <v>494</v>
      </c>
      <c r="B25" s="13" t="s">
        <v>588</v>
      </c>
      <c r="C25" s="35" t="str">
        <f aca="true" t="shared" si="6" ref="C25:C35">B25&amp;IF(LEFT(E25,5)="TOTAL","T","")</f>
        <v>ops</v>
      </c>
      <c r="D25" s="15" t="s">
        <v>59</v>
      </c>
      <c r="E25" s="15" t="s">
        <v>216</v>
      </c>
      <c r="F25" s="15" t="s">
        <v>663</v>
      </c>
      <c r="G25" s="15">
        <v>2</v>
      </c>
      <c r="H25" s="15">
        <v>2</v>
      </c>
      <c r="I25" s="15">
        <v>3</v>
      </c>
      <c r="J25" s="15">
        <v>0</v>
      </c>
      <c r="K25" s="15">
        <v>2</v>
      </c>
      <c r="L25" s="15">
        <v>2</v>
      </c>
      <c r="M25" s="15">
        <v>2</v>
      </c>
      <c r="N25" s="13">
        <v>2</v>
      </c>
      <c r="O25" s="13">
        <v>2</v>
      </c>
      <c r="P25" s="13">
        <v>2</v>
      </c>
      <c r="Q25" s="13">
        <v>2</v>
      </c>
      <c r="R25" s="13">
        <v>2</v>
      </c>
      <c r="S25" s="13">
        <v>2</v>
      </c>
      <c r="T25" s="13">
        <v>2</v>
      </c>
      <c r="U25" s="13">
        <v>2</v>
      </c>
      <c r="AK25" s="13">
        <v>8</v>
      </c>
    </row>
    <row r="26" spans="1:52" ht="12.75">
      <c r="A26" s="13" t="s">
        <v>494</v>
      </c>
      <c r="B26" s="13" t="s">
        <v>588</v>
      </c>
      <c r="C26" s="35" t="str">
        <f t="shared" si="6"/>
        <v>ops</v>
      </c>
      <c r="D26" s="15" t="s">
        <v>59</v>
      </c>
      <c r="E26" s="15" t="s">
        <v>159</v>
      </c>
      <c r="F26" s="39"/>
      <c r="G26" s="39"/>
      <c r="H26" s="39"/>
      <c r="I26" s="39"/>
      <c r="J26" s="39"/>
      <c r="K26" s="39"/>
      <c r="L26" s="39"/>
      <c r="M26" s="39"/>
      <c r="AN26" s="13">
        <v>2</v>
      </c>
      <c r="AO26" s="13">
        <v>2</v>
      </c>
      <c r="AP26" s="13">
        <v>2</v>
      </c>
      <c r="AQ26" s="13">
        <v>2</v>
      </c>
      <c r="AR26" s="13">
        <v>2</v>
      </c>
      <c r="AS26" s="13">
        <v>2</v>
      </c>
      <c r="AT26" s="13">
        <v>2</v>
      </c>
      <c r="AU26" s="13">
        <v>4</v>
      </c>
      <c r="AV26" s="13">
        <v>4</v>
      </c>
      <c r="AW26" s="13">
        <v>2</v>
      </c>
      <c r="AX26" s="13">
        <v>4</v>
      </c>
      <c r="AY26" s="13">
        <v>4</v>
      </c>
      <c r="AZ26" s="13">
        <v>4</v>
      </c>
    </row>
    <row r="27" spans="1:52" ht="12.75">
      <c r="A27" s="13" t="s">
        <v>494</v>
      </c>
      <c r="B27" s="13" t="s">
        <v>588</v>
      </c>
      <c r="C27" s="35" t="str">
        <f t="shared" si="6"/>
        <v>ops</v>
      </c>
      <c r="D27" s="15" t="s">
        <v>59</v>
      </c>
      <c r="E27" s="15" t="s">
        <v>673</v>
      </c>
      <c r="F27" s="39"/>
      <c r="G27" s="39"/>
      <c r="H27" s="39"/>
      <c r="I27" s="39"/>
      <c r="J27" s="39"/>
      <c r="K27" s="39"/>
      <c r="L27" s="39"/>
      <c r="M27" s="39"/>
      <c r="AK27" s="13">
        <v>1</v>
      </c>
      <c r="AN27" s="13">
        <v>2</v>
      </c>
      <c r="AO27" s="13">
        <v>2</v>
      </c>
      <c r="AP27" s="13">
        <v>2</v>
      </c>
      <c r="AQ27" s="13">
        <v>2</v>
      </c>
      <c r="AR27" s="13">
        <v>2</v>
      </c>
      <c r="AS27" s="13">
        <v>2</v>
      </c>
      <c r="AT27" s="13">
        <v>2</v>
      </c>
      <c r="AU27" s="13">
        <v>4</v>
      </c>
      <c r="AV27" s="13">
        <v>4</v>
      </c>
      <c r="AW27" s="13">
        <v>4</v>
      </c>
      <c r="AX27" s="13">
        <v>4</v>
      </c>
      <c r="AY27" s="13">
        <v>4</v>
      </c>
      <c r="AZ27" s="13">
        <v>4</v>
      </c>
    </row>
    <row r="28" spans="1:53" ht="12.75">
      <c r="A28" s="13" t="s">
        <v>494</v>
      </c>
      <c r="B28" s="13" t="s">
        <v>588</v>
      </c>
      <c r="C28" s="35" t="str">
        <f t="shared" si="6"/>
        <v>ops</v>
      </c>
      <c r="D28" s="15" t="s">
        <v>59</v>
      </c>
      <c r="E28" s="15" t="s">
        <v>190</v>
      </c>
      <c r="F28" s="15" t="s">
        <v>165</v>
      </c>
      <c r="G28" s="15">
        <v>16</v>
      </c>
      <c r="H28" s="15">
        <v>16</v>
      </c>
      <c r="I28" s="15">
        <v>10</v>
      </c>
      <c r="J28" s="15">
        <v>6</v>
      </c>
      <c r="K28" s="15">
        <v>16</v>
      </c>
      <c r="L28" s="15">
        <v>16</v>
      </c>
      <c r="M28" s="15">
        <v>16</v>
      </c>
      <c r="N28" s="15">
        <v>16</v>
      </c>
      <c r="O28" s="13">
        <v>16</v>
      </c>
      <c r="P28" s="15">
        <v>16</v>
      </c>
      <c r="Q28" s="15">
        <v>18</v>
      </c>
      <c r="R28" s="15">
        <v>18</v>
      </c>
      <c r="S28" s="15">
        <v>18</v>
      </c>
      <c r="T28" s="15">
        <v>18</v>
      </c>
      <c r="U28" s="15">
        <v>18</v>
      </c>
      <c r="V28" s="15">
        <v>4</v>
      </c>
      <c r="W28" s="15">
        <v>16</v>
      </c>
      <c r="X28" s="15">
        <v>16</v>
      </c>
      <c r="Y28" s="15">
        <v>16</v>
      </c>
      <c r="Z28" s="15">
        <v>16</v>
      </c>
      <c r="AA28" s="15">
        <v>12</v>
      </c>
      <c r="AB28" s="15">
        <v>10</v>
      </c>
      <c r="AC28" s="15">
        <v>16</v>
      </c>
      <c r="AD28" s="15">
        <v>16</v>
      </c>
      <c r="AE28" s="15">
        <v>16</v>
      </c>
      <c r="AF28" s="15">
        <v>16</v>
      </c>
      <c r="AG28" s="15">
        <v>16</v>
      </c>
      <c r="AH28" s="15">
        <v>10</v>
      </c>
      <c r="AI28" s="15">
        <v>16</v>
      </c>
      <c r="AJ28" s="15">
        <v>16</v>
      </c>
      <c r="AK28" s="15">
        <v>16</v>
      </c>
      <c r="AL28" s="15">
        <v>16</v>
      </c>
      <c r="AM28" s="15">
        <v>16</v>
      </c>
      <c r="AN28" s="15">
        <v>16</v>
      </c>
      <c r="AO28" s="15">
        <v>16</v>
      </c>
      <c r="AP28" s="15">
        <v>16</v>
      </c>
      <c r="AQ28" s="15">
        <v>16</v>
      </c>
      <c r="AR28" s="15">
        <v>16</v>
      </c>
      <c r="AS28" s="15">
        <v>16</v>
      </c>
      <c r="AT28" s="15">
        <v>16</v>
      </c>
      <c r="AU28" s="15">
        <v>16</v>
      </c>
      <c r="AV28" s="15">
        <v>16</v>
      </c>
      <c r="AW28" s="15">
        <v>16</v>
      </c>
      <c r="AX28" s="15">
        <v>16</v>
      </c>
      <c r="AY28" s="15">
        <v>16</v>
      </c>
      <c r="AZ28" s="15">
        <v>16</v>
      </c>
      <c r="BA28" s="39"/>
    </row>
    <row r="29" spans="1:39" ht="12.75">
      <c r="A29" s="13" t="s">
        <v>494</v>
      </c>
      <c r="B29" s="13" t="s">
        <v>588</v>
      </c>
      <c r="C29" s="35" t="str">
        <f t="shared" si="6"/>
        <v>ops</v>
      </c>
      <c r="D29" s="15" t="s">
        <v>59</v>
      </c>
      <c r="E29" s="15" t="s">
        <v>151</v>
      </c>
      <c r="F29" s="39"/>
      <c r="G29" s="50">
        <v>0</v>
      </c>
      <c r="H29" s="50">
        <v>7</v>
      </c>
      <c r="I29" s="50">
        <v>0</v>
      </c>
      <c r="J29" s="50">
        <v>20</v>
      </c>
      <c r="K29" s="50">
        <v>0</v>
      </c>
      <c r="L29" s="50">
        <v>0</v>
      </c>
      <c r="M29" s="13">
        <v>8</v>
      </c>
      <c r="V29" s="13">
        <v>12</v>
      </c>
      <c r="AA29" s="13">
        <v>16</v>
      </c>
      <c r="AB29" s="13">
        <v>6</v>
      </c>
      <c r="AH29" s="13">
        <v>18</v>
      </c>
      <c r="AL29" s="13">
        <v>16</v>
      </c>
      <c r="AM29" s="13">
        <v>16</v>
      </c>
    </row>
    <row r="30" spans="1:53" ht="12.75">
      <c r="A30" s="45" t="str">
        <f>A28</f>
        <v>dev</v>
      </c>
      <c r="B30" s="57" t="s">
        <v>588</v>
      </c>
      <c r="C30" s="45" t="str">
        <f t="shared" si="6"/>
        <v>opsT</v>
      </c>
      <c r="D30" s="70" t="str">
        <f>D28</f>
        <v>SDeitz</v>
      </c>
      <c r="E30" s="47" t="str">
        <f>"TOTAL Avail: "&amp;D30</f>
        <v>TOTAL Avail: SDeitz</v>
      </c>
      <c r="F30" s="49"/>
      <c r="G30" s="51" t="str">
        <f aca="true" t="shared" si="7" ref="G30:BA30">32-SUM(G22:G29)</f>
        <v>6</v>
      </c>
      <c r="H30" s="51" t="str">
        <f t="shared" si="7"/>
        <v>-1</v>
      </c>
      <c r="I30" s="51" t="str">
        <f t="shared" si="7"/>
        <v>10</v>
      </c>
      <c r="J30" s="51" t="str">
        <f t="shared" si="7"/>
        <v>4</v>
      </c>
      <c r="K30" s="51" t="str">
        <f t="shared" si="7"/>
        <v>2</v>
      </c>
      <c r="L30" s="51" t="str">
        <f t="shared" si="7"/>
        <v>2</v>
      </c>
      <c r="M30" s="51" t="str">
        <f t="shared" si="7"/>
        <v>2</v>
      </c>
      <c r="N30" s="51" t="str">
        <f t="shared" si="7"/>
        <v>2</v>
      </c>
      <c r="O30" s="51" t="str">
        <f t="shared" si="7"/>
        <v>2</v>
      </c>
      <c r="P30" s="51" t="str">
        <f t="shared" si="7"/>
        <v>2</v>
      </c>
      <c r="Q30" s="51" t="str">
        <f t="shared" si="7"/>
        <v>-1</v>
      </c>
      <c r="R30" s="51" t="str">
        <f t="shared" si="7"/>
        <v>-1</v>
      </c>
      <c r="S30" s="51" t="str">
        <f t="shared" si="7"/>
        <v>-2</v>
      </c>
      <c r="T30" s="51" t="str">
        <f t="shared" si="7"/>
        <v>-2</v>
      </c>
      <c r="U30" s="51" t="str">
        <f t="shared" si="7"/>
        <v>6</v>
      </c>
      <c r="V30" s="51" t="str">
        <f t="shared" si="7"/>
        <v>0</v>
      </c>
      <c r="W30" s="51" t="str">
        <f t="shared" si="7"/>
        <v>0</v>
      </c>
      <c r="X30" s="51" t="str">
        <f t="shared" si="7"/>
        <v>2</v>
      </c>
      <c r="Y30" s="51" t="str">
        <f t="shared" si="7"/>
        <v>0</v>
      </c>
      <c r="Z30" s="51" t="str">
        <f t="shared" si="7"/>
        <v>0</v>
      </c>
      <c r="AA30" s="51" t="str">
        <f t="shared" si="7"/>
        <v>0</v>
      </c>
      <c r="AB30" s="51" t="str">
        <f t="shared" si="7"/>
        <v>0</v>
      </c>
      <c r="AC30" s="51" t="str">
        <f t="shared" si="7"/>
        <v>0</v>
      </c>
      <c r="AD30" s="51" t="str">
        <f t="shared" si="7"/>
        <v>0</v>
      </c>
      <c r="AE30" s="51" t="str">
        <f t="shared" si="7"/>
        <v>0</v>
      </c>
      <c r="AF30" s="51" t="str">
        <f t="shared" si="7"/>
        <v>0</v>
      </c>
      <c r="AG30" s="51" t="str">
        <f t="shared" si="7"/>
        <v>0</v>
      </c>
      <c r="AH30" s="51" t="str">
        <f t="shared" si="7"/>
        <v>0</v>
      </c>
      <c r="AI30" s="51" t="str">
        <f t="shared" si="7"/>
        <v>0</v>
      </c>
      <c r="AJ30" s="51" t="str">
        <f t="shared" si="7"/>
        <v>0</v>
      </c>
      <c r="AK30" s="51" t="str">
        <f t="shared" si="7"/>
        <v>-1</v>
      </c>
      <c r="AL30" s="51" t="str">
        <f t="shared" si="7"/>
        <v>0</v>
      </c>
      <c r="AM30" s="51" t="str">
        <f t="shared" si="7"/>
        <v>0</v>
      </c>
      <c r="AN30" s="51" t="str">
        <f t="shared" si="7"/>
        <v>0</v>
      </c>
      <c r="AO30" s="51" t="str">
        <f t="shared" si="7"/>
        <v>0</v>
      </c>
      <c r="AP30" s="51" t="str">
        <f t="shared" si="7"/>
        <v>0</v>
      </c>
      <c r="AQ30" s="51" t="str">
        <f t="shared" si="7"/>
        <v>0</v>
      </c>
      <c r="AR30" s="51" t="str">
        <f t="shared" si="7"/>
        <v>0</v>
      </c>
      <c r="AS30" s="51" t="str">
        <f t="shared" si="7"/>
        <v>0</v>
      </c>
      <c r="AT30" s="51" t="str">
        <f t="shared" si="7"/>
        <v>0</v>
      </c>
      <c r="AU30" s="51" t="str">
        <f t="shared" si="7"/>
        <v>-4</v>
      </c>
      <c r="AV30" s="51" t="str">
        <f t="shared" si="7"/>
        <v>-4</v>
      </c>
      <c r="AW30" s="51" t="str">
        <f t="shared" si="7"/>
        <v>-2</v>
      </c>
      <c r="AX30" s="51" t="str">
        <f t="shared" si="7"/>
        <v>-4</v>
      </c>
      <c r="AY30" s="51" t="str">
        <f t="shared" si="7"/>
        <v>-4</v>
      </c>
      <c r="AZ30" s="51" t="str">
        <f t="shared" si="7"/>
        <v>-4</v>
      </c>
      <c r="BA30" s="51" t="str">
        <f t="shared" si="7"/>
        <v>20</v>
      </c>
    </row>
    <row r="31" spans="1:53" ht="12" customHeight="1">
      <c r="A31" s="13" t="s">
        <v>494</v>
      </c>
      <c r="B31" s="13" t="s">
        <v>582</v>
      </c>
      <c r="C31" s="35" t="str">
        <f t="shared" si="6"/>
        <v>dw</v>
      </c>
      <c r="D31" s="15" t="s">
        <v>63</v>
      </c>
      <c r="E31" s="15" t="s">
        <v>146</v>
      </c>
      <c r="F31" s="15" t="s">
        <v>165</v>
      </c>
      <c r="G31" s="50">
        <v>15</v>
      </c>
      <c r="H31" s="50">
        <v>6</v>
      </c>
      <c r="I31" s="50">
        <v>10</v>
      </c>
      <c r="J31" s="50">
        <v>12</v>
      </c>
      <c r="K31" s="50">
        <v>6</v>
      </c>
      <c r="L31" s="50">
        <v>2</v>
      </c>
      <c r="M31" s="50">
        <v>1</v>
      </c>
      <c r="N31" s="13">
        <v>3</v>
      </c>
      <c r="O31" s="13">
        <v>3</v>
      </c>
      <c r="P31" s="13">
        <v>3</v>
      </c>
      <c r="Q31" s="13">
        <v>0</v>
      </c>
      <c r="R31" s="13">
        <v>4</v>
      </c>
      <c r="S31" s="13">
        <v>2</v>
      </c>
      <c r="T31" s="13">
        <v>10</v>
      </c>
      <c r="U31" s="13">
        <v>12</v>
      </c>
      <c r="V31" s="13">
        <v>4</v>
      </c>
      <c r="W31" s="13">
        <v>12</v>
      </c>
      <c r="X31" s="13">
        <v>3</v>
      </c>
      <c r="Y31" s="13">
        <v>4</v>
      </c>
      <c r="Z31" s="13">
        <v>12</v>
      </c>
      <c r="AA31" s="13">
        <v>12</v>
      </c>
      <c r="AB31" s="13">
        <v>12</v>
      </c>
      <c r="AC31" s="13">
        <v>12</v>
      </c>
      <c r="AD31" s="13">
        <v>12</v>
      </c>
      <c r="AE31" s="13">
        <v>12</v>
      </c>
      <c r="AF31" s="13">
        <v>12</v>
      </c>
      <c r="AG31" s="13">
        <v>6</v>
      </c>
      <c r="AI31" s="13">
        <v>12</v>
      </c>
      <c r="AJ31" s="13">
        <v>12</v>
      </c>
      <c r="AK31" s="13">
        <v>15</v>
      </c>
      <c r="AN31" s="13">
        <v>12</v>
      </c>
      <c r="AO31" s="13">
        <v>12</v>
      </c>
      <c r="AP31" s="13">
        <v>12</v>
      </c>
      <c r="AQ31" s="13">
        <v>12</v>
      </c>
      <c r="AR31" s="13">
        <v>8</v>
      </c>
      <c r="AS31" s="13">
        <v>8</v>
      </c>
      <c r="AT31" s="13">
        <v>8</v>
      </c>
      <c r="AU31" s="13">
        <v>8</v>
      </c>
      <c r="AV31" s="13">
        <v>8</v>
      </c>
      <c r="AW31" s="13">
        <v>8</v>
      </c>
      <c r="AX31" s="13">
        <v>8</v>
      </c>
      <c r="AY31" s="13">
        <v>8</v>
      </c>
      <c r="AZ31" s="13">
        <v>8</v>
      </c>
      <c r="BA31" s="13">
        <v>8</v>
      </c>
    </row>
    <row r="32" spans="1:25" ht="12" customHeight="1">
      <c r="A32" s="13" t="s">
        <v>494</v>
      </c>
      <c r="B32" s="13" t="s">
        <v>582</v>
      </c>
      <c r="C32" s="35" t="str">
        <f t="shared" si="6"/>
        <v>dw</v>
      </c>
      <c r="D32" s="15" t="s">
        <v>63</v>
      </c>
      <c r="E32" s="15" t="s">
        <v>149</v>
      </c>
      <c r="F32" s="15" t="s">
        <v>165</v>
      </c>
      <c r="G32" s="141"/>
      <c r="H32" s="141"/>
      <c r="I32" s="141"/>
      <c r="J32" s="141"/>
      <c r="K32" s="141"/>
      <c r="L32" s="50">
        <v>10</v>
      </c>
      <c r="M32" s="50">
        <v>1</v>
      </c>
      <c r="N32" s="13">
        <v>3</v>
      </c>
      <c r="O32" s="13">
        <v>7</v>
      </c>
      <c r="P32" s="13">
        <v>8</v>
      </c>
      <c r="Q32" s="13">
        <v>4</v>
      </c>
      <c r="R32" s="13">
        <v>0</v>
      </c>
      <c r="S32" s="13">
        <v>4</v>
      </c>
      <c r="T32" s="13">
        <v>0</v>
      </c>
      <c r="U32" s="13">
        <v>0</v>
      </c>
      <c r="X32" s="13">
        <v>7</v>
      </c>
      <c r="Y32" s="13">
        <v>6</v>
      </c>
    </row>
    <row r="33" spans="1:36" ht="12" customHeight="1">
      <c r="A33" s="13" t="s">
        <v>494</v>
      </c>
      <c r="B33" s="13" t="s">
        <v>582</v>
      </c>
      <c r="C33" s="35" t="str">
        <f t="shared" si="6"/>
        <v>dw</v>
      </c>
      <c r="D33" s="15" t="s">
        <v>63</v>
      </c>
      <c r="E33" s="15" t="s">
        <v>167</v>
      </c>
      <c r="F33" s="15" t="s">
        <v>218</v>
      </c>
      <c r="G33" s="50">
        <v>4</v>
      </c>
      <c r="H33" s="50">
        <v>4</v>
      </c>
      <c r="I33" s="50">
        <v>4</v>
      </c>
      <c r="J33" s="50">
        <v>4</v>
      </c>
      <c r="K33" s="50">
        <v>4</v>
      </c>
      <c r="L33" s="50">
        <v>4</v>
      </c>
      <c r="M33" s="50">
        <v>4</v>
      </c>
      <c r="N33" s="13">
        <v>4</v>
      </c>
      <c r="O33" s="13">
        <v>4</v>
      </c>
      <c r="P33" s="13">
        <v>4</v>
      </c>
      <c r="Q33" s="13">
        <v>4</v>
      </c>
      <c r="R33" s="13">
        <v>4</v>
      </c>
      <c r="S33" s="13">
        <v>4</v>
      </c>
      <c r="T33" s="13">
        <v>4</v>
      </c>
      <c r="U33" s="13">
        <v>4</v>
      </c>
      <c r="V33" s="13">
        <v>4</v>
      </c>
      <c r="W33" s="13">
        <v>4</v>
      </c>
      <c r="X33" s="13">
        <v>4</v>
      </c>
      <c r="Y33" s="13">
        <v>4</v>
      </c>
      <c r="Z33" s="13">
        <v>4</v>
      </c>
      <c r="AD33" s="13">
        <v>4</v>
      </c>
      <c r="AE33" s="13">
        <v>4</v>
      </c>
      <c r="AF33" s="13">
        <v>4</v>
      </c>
      <c r="AG33" s="13">
        <v>4</v>
      </c>
      <c r="AI33" s="13">
        <v>4</v>
      </c>
      <c r="AJ33" s="13">
        <v>4</v>
      </c>
    </row>
    <row r="34" spans="1:36" ht="12.75">
      <c r="A34" s="13" t="s">
        <v>494</v>
      </c>
      <c r="B34" s="13" t="s">
        <v>582</v>
      </c>
      <c r="C34" s="35" t="str">
        <f t="shared" si="6"/>
        <v>dw</v>
      </c>
      <c r="D34" s="15" t="s">
        <v>63</v>
      </c>
      <c r="E34" s="13" t="s">
        <v>731</v>
      </c>
      <c r="F34" s="13" t="s">
        <v>732</v>
      </c>
      <c r="G34" s="141"/>
      <c r="H34" s="141"/>
      <c r="I34" s="141"/>
      <c r="J34" s="50">
        <v>2</v>
      </c>
      <c r="K34" s="50">
        <v>2</v>
      </c>
      <c r="L34" s="50">
        <v>6</v>
      </c>
      <c r="M34" s="50">
        <v>0</v>
      </c>
      <c r="N34" s="13">
        <v>4</v>
      </c>
      <c r="O34" s="13">
        <v>8</v>
      </c>
      <c r="P34" s="13">
        <v>8</v>
      </c>
      <c r="Q34" s="13">
        <v>22</v>
      </c>
      <c r="R34" s="13">
        <v>24</v>
      </c>
      <c r="S34" s="13">
        <v>22</v>
      </c>
      <c r="T34" s="13">
        <v>12</v>
      </c>
      <c r="U34" s="13">
        <v>4</v>
      </c>
      <c r="V34" s="13">
        <v>4</v>
      </c>
      <c r="AA34" s="13">
        <v>4</v>
      </c>
      <c r="AB34" s="13">
        <v>4</v>
      </c>
      <c r="AG34" s="13">
        <v>12</v>
      </c>
      <c r="AI34" s="13">
        <v>12</v>
      </c>
      <c r="AJ34" s="13">
        <v>4</v>
      </c>
    </row>
    <row r="35" spans="1:40" ht="12.75">
      <c r="A35" s="13" t="s">
        <v>494</v>
      </c>
      <c r="B35" s="13" t="s">
        <v>582</v>
      </c>
      <c r="C35" s="35" t="str">
        <f t="shared" si="6"/>
        <v>dw</v>
      </c>
      <c r="D35" s="15" t="s">
        <v>63</v>
      </c>
      <c r="E35" s="13" t="s">
        <v>14</v>
      </c>
      <c r="F35" s="13" t="s">
        <v>733</v>
      </c>
      <c r="G35" s="141"/>
      <c r="H35" s="141"/>
      <c r="I35" s="141"/>
      <c r="J35" s="50">
        <v>2</v>
      </c>
      <c r="K35" s="50">
        <v>2</v>
      </c>
      <c r="L35" s="50">
        <v>6</v>
      </c>
      <c r="M35" s="50">
        <v>0</v>
      </c>
      <c r="N35" s="13">
        <v>4</v>
      </c>
      <c r="O35" s="13">
        <v>8</v>
      </c>
      <c r="P35" s="13">
        <v>8</v>
      </c>
      <c r="Q35" s="13">
        <v>22</v>
      </c>
      <c r="R35" s="13">
        <v>2</v>
      </c>
      <c r="S35" s="13">
        <v>2</v>
      </c>
      <c r="T35" s="13">
        <v>2</v>
      </c>
      <c r="U35" s="13">
        <v>2</v>
      </c>
      <c r="X35" s="13">
        <v>2</v>
      </c>
      <c r="Y35" s="13">
        <v>2</v>
      </c>
      <c r="AK35" s="13">
        <v>4</v>
      </c>
      <c r="AN35" s="13">
        <v>4</v>
      </c>
    </row>
    <row r="36" spans="1:42" ht="12.75">
      <c r="A36" s="13" t="s">
        <v>494</v>
      </c>
      <c r="B36" s="13" t="s">
        <v>582</v>
      </c>
      <c r="D36" s="15" t="s">
        <v>63</v>
      </c>
      <c r="E36" s="13" t="s">
        <v>319</v>
      </c>
      <c r="F36" s="13" t="s">
        <v>734</v>
      </c>
      <c r="G36" s="141"/>
      <c r="H36" s="141"/>
      <c r="I36" s="141"/>
      <c r="J36" s="141"/>
      <c r="K36" s="141"/>
      <c r="L36" s="141"/>
      <c r="M36" s="141"/>
      <c r="AN36" s="13">
        <v>4</v>
      </c>
      <c r="AO36" s="13">
        <v>4</v>
      </c>
      <c r="AP36" s="13">
        <v>0</v>
      </c>
    </row>
    <row r="37" spans="1:37" ht="12.75">
      <c r="A37" s="13" t="s">
        <v>494</v>
      </c>
      <c r="B37" s="13" t="s">
        <v>582</v>
      </c>
      <c r="C37" s="35" t="str">
        <f aca="true" t="shared" si="8" ref="C37:C48">B37&amp;IF(LEFT(E37,5)="TOTAL","T","")</f>
        <v>dw</v>
      </c>
      <c r="D37" s="15" t="s">
        <v>63</v>
      </c>
      <c r="E37" s="13" t="s">
        <v>384</v>
      </c>
      <c r="F37" s="13" t="s">
        <v>740</v>
      </c>
      <c r="G37" s="50">
        <v>16</v>
      </c>
      <c r="H37" s="50">
        <v>10</v>
      </c>
      <c r="I37" s="50">
        <v>16</v>
      </c>
      <c r="J37" s="50">
        <v>12</v>
      </c>
      <c r="K37" s="50">
        <v>16</v>
      </c>
      <c r="L37" s="50">
        <v>8</v>
      </c>
      <c r="M37" s="50">
        <v>2</v>
      </c>
      <c r="N37" s="13">
        <v>2</v>
      </c>
      <c r="O37" s="13">
        <v>2</v>
      </c>
      <c r="P37" s="13">
        <v>0</v>
      </c>
      <c r="Q37" s="13">
        <v>0</v>
      </c>
      <c r="T37" s="13">
        <v>4</v>
      </c>
      <c r="U37" s="13">
        <v>10</v>
      </c>
      <c r="V37" s="13">
        <v>14</v>
      </c>
      <c r="W37" s="13">
        <v>24</v>
      </c>
      <c r="X37" s="13">
        <v>16</v>
      </c>
      <c r="Y37" s="13">
        <v>16</v>
      </c>
      <c r="Z37" s="13">
        <v>16</v>
      </c>
      <c r="AA37" s="13">
        <v>16</v>
      </c>
      <c r="AB37" s="13">
        <v>16</v>
      </c>
      <c r="AC37" s="13">
        <v>15</v>
      </c>
      <c r="AD37" s="13">
        <v>16</v>
      </c>
      <c r="AE37" s="13">
        <v>16</v>
      </c>
      <c r="AF37" s="13">
        <v>16</v>
      </c>
      <c r="AG37" s="13">
        <v>10</v>
      </c>
      <c r="AI37" s="13">
        <v>16</v>
      </c>
      <c r="AJ37" s="13">
        <v>12</v>
      </c>
      <c r="AK37" s="13">
        <v>12</v>
      </c>
    </row>
    <row r="38" spans="1:50" ht="12.75">
      <c r="A38" s="13" t="s">
        <v>494</v>
      </c>
      <c r="B38" s="13" t="s">
        <v>582</v>
      </c>
      <c r="C38" s="35" t="str">
        <f t="shared" si="8"/>
        <v>dw</v>
      </c>
      <c r="D38" s="15" t="s">
        <v>63</v>
      </c>
      <c r="E38" s="13" t="s">
        <v>159</v>
      </c>
      <c r="G38" s="141"/>
      <c r="H38" s="141"/>
      <c r="I38" s="141"/>
      <c r="J38" s="141"/>
      <c r="K38" s="141"/>
      <c r="L38" s="141"/>
      <c r="M38" s="141"/>
      <c r="AN38" s="13">
        <v>4</v>
      </c>
      <c r="AO38" s="13">
        <v>4</v>
      </c>
      <c r="AP38" s="13">
        <v>4</v>
      </c>
      <c r="AQ38" s="13">
        <v>4</v>
      </c>
      <c r="AR38" s="13">
        <v>4</v>
      </c>
      <c r="AS38" s="13">
        <v>4</v>
      </c>
      <c r="AT38" s="13">
        <v>4</v>
      </c>
      <c r="AU38" s="13">
        <v>4</v>
      </c>
      <c r="AV38" s="13">
        <v>2</v>
      </c>
      <c r="AW38" s="13">
        <v>2</v>
      </c>
      <c r="AX38" s="13">
        <v>2</v>
      </c>
    </row>
    <row r="39" spans="1:48" ht="12.75">
      <c r="A39" s="13" t="s">
        <v>494</v>
      </c>
      <c r="B39" s="13" t="s">
        <v>582</v>
      </c>
      <c r="C39" s="35" t="str">
        <f t="shared" si="8"/>
        <v>dw</v>
      </c>
      <c r="D39" s="15" t="s">
        <v>63</v>
      </c>
      <c r="E39" s="13" t="s">
        <v>673</v>
      </c>
      <c r="G39" s="141"/>
      <c r="H39" s="141"/>
      <c r="I39" s="141"/>
      <c r="J39" s="141"/>
      <c r="K39" s="141"/>
      <c r="L39" s="141"/>
      <c r="M39" s="141"/>
      <c r="AK39" s="13">
        <v>1</v>
      </c>
      <c r="AN39" s="13">
        <v>8</v>
      </c>
      <c r="AO39" s="13">
        <v>12</v>
      </c>
      <c r="AP39" s="13">
        <v>16</v>
      </c>
      <c r="AQ39" s="13">
        <v>16</v>
      </c>
      <c r="AR39" s="13">
        <v>24</v>
      </c>
      <c r="AS39" s="13">
        <v>24</v>
      </c>
      <c r="AT39" s="13">
        <v>24</v>
      </c>
      <c r="AU39" s="13">
        <v>24</v>
      </c>
      <c r="AV39" s="13">
        <v>24</v>
      </c>
    </row>
    <row r="40" spans="1:39" ht="12.75">
      <c r="A40" s="13" t="s">
        <v>494</v>
      </c>
      <c r="B40" s="13" t="s">
        <v>582</v>
      </c>
      <c r="C40" s="35" t="str">
        <f t="shared" si="8"/>
        <v>dw</v>
      </c>
      <c r="D40" s="15" t="s">
        <v>63</v>
      </c>
      <c r="E40" s="15" t="s">
        <v>151</v>
      </c>
      <c r="F40" s="39"/>
      <c r="G40" s="50">
        <v>0</v>
      </c>
      <c r="H40" s="50">
        <v>7</v>
      </c>
      <c r="I40" s="50">
        <v>0</v>
      </c>
      <c r="J40" s="50">
        <v>0</v>
      </c>
      <c r="K40" s="50">
        <v>0</v>
      </c>
      <c r="L40" s="50">
        <v>0</v>
      </c>
      <c r="M40" s="50">
        <v>24</v>
      </c>
      <c r="N40" s="13">
        <v>16</v>
      </c>
      <c r="O40" s="13">
        <v>8</v>
      </c>
      <c r="P40" s="13">
        <v>8</v>
      </c>
      <c r="V40" s="13">
        <v>6</v>
      </c>
      <c r="AH40" s="13">
        <v>32</v>
      </c>
      <c r="AL40" s="13">
        <v>32</v>
      </c>
      <c r="AM40" s="13">
        <v>32</v>
      </c>
    </row>
    <row r="41" spans="1:53" ht="12.75">
      <c r="A41" s="45" t="str">
        <f>A40</f>
        <v>dev</v>
      </c>
      <c r="B41" s="57" t="s">
        <v>582</v>
      </c>
      <c r="C41" s="45" t="str">
        <f t="shared" si="8"/>
        <v>dwT</v>
      </c>
      <c r="D41" s="70" t="str">
        <f>D40</f>
        <v>NKuhnel</v>
      </c>
      <c r="E41" s="47" t="str">
        <f>"TOTAL Avail: "&amp;D41</f>
        <v>TOTAL Avail: NKuhnel</v>
      </c>
      <c r="F41" s="49"/>
      <c r="G41" s="51" t="str">
        <f aca="true" t="shared" si="9" ref="G41:BA41">32-SUM(G31:G40)</f>
        <v>-3</v>
      </c>
      <c r="H41" s="51" t="str">
        <f t="shared" si="9"/>
        <v>5</v>
      </c>
      <c r="I41" s="51" t="str">
        <f t="shared" si="9"/>
        <v>2</v>
      </c>
      <c r="J41" s="51" t="str">
        <f t="shared" si="9"/>
        <v>0</v>
      </c>
      <c r="K41" s="51" t="str">
        <f t="shared" si="9"/>
        <v>2</v>
      </c>
      <c r="L41" s="51" t="str">
        <f t="shared" si="9"/>
        <v>-4</v>
      </c>
      <c r="M41" s="51" t="str">
        <f t="shared" si="9"/>
        <v>0</v>
      </c>
      <c r="N41" s="51" t="str">
        <f t="shared" si="9"/>
        <v>-4</v>
      </c>
      <c r="O41" s="51" t="str">
        <f t="shared" si="9"/>
        <v>-8</v>
      </c>
      <c r="P41" s="51" t="str">
        <f t="shared" si="9"/>
        <v>-7</v>
      </c>
      <c r="Q41" s="51" t="str">
        <f t="shared" si="9"/>
        <v>-20</v>
      </c>
      <c r="R41" s="51" t="str">
        <f t="shared" si="9"/>
        <v>-2</v>
      </c>
      <c r="S41" s="51" t="str">
        <f t="shared" si="9"/>
        <v>-2</v>
      </c>
      <c r="T41" s="51" t="str">
        <f t="shared" si="9"/>
        <v>0</v>
      </c>
      <c r="U41" s="51" t="str">
        <f t="shared" si="9"/>
        <v>0</v>
      </c>
      <c r="V41" s="51" t="str">
        <f t="shared" si="9"/>
        <v>0</v>
      </c>
      <c r="W41" s="51" t="str">
        <f t="shared" si="9"/>
        <v>-8</v>
      </c>
      <c r="X41" s="51" t="str">
        <f t="shared" si="9"/>
        <v>0</v>
      </c>
      <c r="Y41" s="51" t="str">
        <f t="shared" si="9"/>
        <v>0</v>
      </c>
      <c r="Z41" s="51" t="str">
        <f t="shared" si="9"/>
        <v>0</v>
      </c>
      <c r="AA41" s="51" t="str">
        <f t="shared" si="9"/>
        <v>0</v>
      </c>
      <c r="AB41" s="51" t="str">
        <f t="shared" si="9"/>
        <v>0</v>
      </c>
      <c r="AC41" s="51" t="str">
        <f t="shared" si="9"/>
        <v>5</v>
      </c>
      <c r="AD41" s="51" t="str">
        <f t="shared" si="9"/>
        <v>0</v>
      </c>
      <c r="AE41" s="51" t="str">
        <f t="shared" si="9"/>
        <v>0</v>
      </c>
      <c r="AF41" s="51" t="str">
        <f t="shared" si="9"/>
        <v>0</v>
      </c>
      <c r="AG41" s="51" t="str">
        <f t="shared" si="9"/>
        <v>0</v>
      </c>
      <c r="AH41" s="51" t="str">
        <f t="shared" si="9"/>
        <v>0</v>
      </c>
      <c r="AI41" s="51" t="str">
        <f t="shared" si="9"/>
        <v>-12</v>
      </c>
      <c r="AJ41" s="51" t="str">
        <f t="shared" si="9"/>
        <v>0</v>
      </c>
      <c r="AK41" s="51" t="str">
        <f t="shared" si="9"/>
        <v>0</v>
      </c>
      <c r="AL41" s="51" t="str">
        <f t="shared" si="9"/>
        <v>0</v>
      </c>
      <c r="AM41" s="51" t="str">
        <f t="shared" si="9"/>
        <v>0</v>
      </c>
      <c r="AN41" s="51" t="str">
        <f t="shared" si="9"/>
        <v>0</v>
      </c>
      <c r="AO41" s="51" t="str">
        <f t="shared" si="9"/>
        <v>0</v>
      </c>
      <c r="AP41" s="51" t="str">
        <f t="shared" si="9"/>
        <v>0</v>
      </c>
      <c r="AQ41" s="51" t="str">
        <f t="shared" si="9"/>
        <v>0</v>
      </c>
      <c r="AR41" s="51" t="str">
        <f t="shared" si="9"/>
        <v>-4</v>
      </c>
      <c r="AS41" s="51" t="str">
        <f t="shared" si="9"/>
        <v>-4</v>
      </c>
      <c r="AT41" s="51" t="str">
        <f t="shared" si="9"/>
        <v>-4</v>
      </c>
      <c r="AU41" s="51" t="str">
        <f t="shared" si="9"/>
        <v>-4</v>
      </c>
      <c r="AV41" s="51" t="str">
        <f t="shared" si="9"/>
        <v>-2</v>
      </c>
      <c r="AW41" s="51" t="str">
        <f t="shared" si="9"/>
        <v>22</v>
      </c>
      <c r="AX41" s="51" t="str">
        <f t="shared" si="9"/>
        <v>22</v>
      </c>
      <c r="AY41" s="51" t="str">
        <f t="shared" si="9"/>
        <v>24</v>
      </c>
      <c r="AZ41" s="51" t="str">
        <f t="shared" si="9"/>
        <v>24</v>
      </c>
      <c r="BA41" s="51" t="str">
        <f t="shared" si="9"/>
        <v>24</v>
      </c>
    </row>
    <row r="42" spans="1:53" ht="12" customHeight="1">
      <c r="A42" s="13" t="s">
        <v>494</v>
      </c>
      <c r="B42" s="13" t="s">
        <v>582</v>
      </c>
      <c r="C42" s="35" t="str">
        <f t="shared" si="8"/>
        <v>dw</v>
      </c>
      <c r="D42" s="15" t="s">
        <v>223</v>
      </c>
      <c r="E42" s="15" t="s">
        <v>146</v>
      </c>
      <c r="F42" s="39"/>
      <c r="G42" s="50">
        <v>80</v>
      </c>
      <c r="H42" s="50">
        <v>80</v>
      </c>
      <c r="I42" s="50">
        <v>80</v>
      </c>
      <c r="J42" s="50">
        <v>136</v>
      </c>
      <c r="K42" s="50">
        <v>120</v>
      </c>
      <c r="L42" s="50">
        <v>8</v>
      </c>
      <c r="M42" s="50">
        <v>100</v>
      </c>
      <c r="N42" s="50">
        <v>100</v>
      </c>
      <c r="O42" s="50">
        <v>100</v>
      </c>
      <c r="P42" s="50">
        <v>100</v>
      </c>
      <c r="Q42" s="50">
        <v>100</v>
      </c>
      <c r="R42" s="50">
        <v>33</v>
      </c>
      <c r="S42" s="50">
        <v>46</v>
      </c>
      <c r="T42" s="50">
        <v>12</v>
      </c>
      <c r="U42" s="50">
        <v>24</v>
      </c>
      <c r="V42" s="50">
        <v>60</v>
      </c>
      <c r="W42" s="50">
        <v>60</v>
      </c>
      <c r="X42" s="50">
        <v>60</v>
      </c>
      <c r="Y42" s="50">
        <v>60</v>
      </c>
      <c r="Z42" s="50">
        <v>20</v>
      </c>
      <c r="AA42" s="50">
        <v>50</v>
      </c>
      <c r="AB42" s="50">
        <v>86</v>
      </c>
      <c r="AC42" s="50">
        <v>80</v>
      </c>
      <c r="AD42" s="50">
        <v>90</v>
      </c>
      <c r="AE42" s="50">
        <v>70</v>
      </c>
      <c r="AF42" s="50">
        <v>70</v>
      </c>
      <c r="AG42" s="50">
        <v>22</v>
      </c>
      <c r="AH42" s="50">
        <v>70</v>
      </c>
      <c r="AI42" s="50">
        <v>70</v>
      </c>
      <c r="AJ42" s="50">
        <v>70</v>
      </c>
      <c r="AK42" s="50">
        <v>30</v>
      </c>
      <c r="AL42" s="50">
        <v>70</v>
      </c>
      <c r="AM42" s="50">
        <v>30</v>
      </c>
      <c r="AN42" s="50">
        <v>30</v>
      </c>
      <c r="AO42" s="50">
        <v>30</v>
      </c>
      <c r="AP42" s="50">
        <v>40</v>
      </c>
      <c r="AQ42" s="50">
        <v>40</v>
      </c>
      <c r="AR42" s="50">
        <v>40</v>
      </c>
      <c r="AS42" s="50">
        <v>40</v>
      </c>
      <c r="AT42" s="50">
        <v>40</v>
      </c>
      <c r="AU42" s="50">
        <v>40</v>
      </c>
      <c r="AV42" s="50">
        <v>40</v>
      </c>
      <c r="AW42" s="50">
        <v>40</v>
      </c>
      <c r="AX42" s="50">
        <v>40</v>
      </c>
      <c r="AY42" s="50">
        <v>40</v>
      </c>
      <c r="AZ42" s="50">
        <v>40</v>
      </c>
      <c r="BA42" s="50">
        <v>40</v>
      </c>
    </row>
    <row r="43" spans="1:53" ht="12" customHeight="1">
      <c r="A43" s="13" t="s">
        <v>494</v>
      </c>
      <c r="B43" s="13" t="s">
        <v>582</v>
      </c>
      <c r="C43" s="35" t="str">
        <f t="shared" si="8"/>
        <v>dw</v>
      </c>
      <c r="D43" s="15" t="s">
        <v>223</v>
      </c>
      <c r="E43" s="15" t="s">
        <v>149</v>
      </c>
      <c r="F43" s="39"/>
      <c r="G43" s="39"/>
      <c r="H43" s="39"/>
      <c r="I43" s="39"/>
      <c r="J43" s="39"/>
      <c r="K43" s="39"/>
      <c r="L43" s="15">
        <v>12</v>
      </c>
      <c r="M43" s="15">
        <v>104</v>
      </c>
      <c r="N43" s="15">
        <v>94</v>
      </c>
      <c r="O43" s="15">
        <v>40</v>
      </c>
      <c r="P43" s="15">
        <v>40</v>
      </c>
      <c r="Q43" s="15">
        <v>40</v>
      </c>
      <c r="R43" s="15">
        <v>0</v>
      </c>
      <c r="S43" s="15">
        <v>0</v>
      </c>
      <c r="T43" s="15">
        <v>0</v>
      </c>
      <c r="U43" s="15">
        <v>0</v>
      </c>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row>
    <row r="44" spans="1:53" ht="12" customHeight="1">
      <c r="A44" s="13" t="s">
        <v>494</v>
      </c>
      <c r="B44" s="13" t="s">
        <v>582</v>
      </c>
      <c r="C44" s="35" t="str">
        <f t="shared" si="8"/>
        <v>dw</v>
      </c>
      <c r="D44" s="15" t="s">
        <v>223</v>
      </c>
      <c r="E44" s="15" t="s">
        <v>226</v>
      </c>
      <c r="F44" s="15" t="s">
        <v>587</v>
      </c>
      <c r="G44" s="15">
        <v>20</v>
      </c>
      <c r="H44" s="15">
        <v>20</v>
      </c>
      <c r="I44" s="15">
        <v>20</v>
      </c>
      <c r="J44" s="15">
        <v>20</v>
      </c>
      <c r="K44" s="15">
        <v>20</v>
      </c>
      <c r="L44" s="15">
        <v>16</v>
      </c>
      <c r="M44" s="15">
        <v>80</v>
      </c>
      <c r="N44" s="15">
        <v>80</v>
      </c>
      <c r="O44" s="15">
        <v>80</v>
      </c>
      <c r="P44" s="15">
        <v>80</v>
      </c>
      <c r="Q44" s="15">
        <v>80</v>
      </c>
      <c r="R44" s="15">
        <v>80</v>
      </c>
      <c r="S44" s="15">
        <v>80</v>
      </c>
      <c r="T44" s="15">
        <v>80</v>
      </c>
      <c r="U44" s="15">
        <v>80</v>
      </c>
      <c r="V44" s="15">
        <v>72</v>
      </c>
      <c r="W44" s="15">
        <v>40</v>
      </c>
      <c r="X44" s="15">
        <v>80</v>
      </c>
      <c r="Y44" s="15">
        <v>80</v>
      </c>
      <c r="Z44" s="15">
        <v>40</v>
      </c>
      <c r="AA44" s="15">
        <v>60</v>
      </c>
      <c r="AB44" s="15">
        <v>80</v>
      </c>
      <c r="AC44" s="15">
        <v>80</v>
      </c>
      <c r="AD44" s="15">
        <v>80</v>
      </c>
      <c r="AE44" s="15">
        <v>80</v>
      </c>
      <c r="AF44" s="15">
        <v>80</v>
      </c>
      <c r="AG44" s="15">
        <v>80</v>
      </c>
      <c r="AH44" s="15">
        <v>80</v>
      </c>
      <c r="AI44" s="15">
        <v>80</v>
      </c>
      <c r="AJ44" s="15">
        <v>80</v>
      </c>
      <c r="AK44" s="15">
        <v>80</v>
      </c>
      <c r="AL44" s="15">
        <v>0</v>
      </c>
      <c r="AM44" s="15">
        <v>48</v>
      </c>
      <c r="AN44" s="15">
        <v>80</v>
      </c>
      <c r="AO44" s="15">
        <v>80</v>
      </c>
      <c r="AP44" s="15">
        <v>80</v>
      </c>
      <c r="AQ44" s="15">
        <v>80</v>
      </c>
      <c r="AR44" s="15">
        <v>80</v>
      </c>
      <c r="AS44" s="15">
        <v>80</v>
      </c>
      <c r="AT44" s="15">
        <v>80</v>
      </c>
      <c r="AU44" s="15">
        <v>80</v>
      </c>
      <c r="AV44" s="15">
        <v>80</v>
      </c>
      <c r="AW44" s="15">
        <v>80</v>
      </c>
      <c r="AX44" s="15">
        <v>80</v>
      </c>
      <c r="AY44" s="15">
        <v>80</v>
      </c>
      <c r="AZ44" s="15">
        <v>80</v>
      </c>
      <c r="BA44" s="15">
        <v>80</v>
      </c>
    </row>
    <row r="45" spans="1:53" ht="12" customHeight="1">
      <c r="A45" s="13" t="s">
        <v>494</v>
      </c>
      <c r="B45" s="13" t="s">
        <v>582</v>
      </c>
      <c r="C45" s="35" t="str">
        <f t="shared" si="8"/>
        <v>dw</v>
      </c>
      <c r="D45" s="15" t="s">
        <v>223</v>
      </c>
      <c r="E45" s="15" t="s">
        <v>174</v>
      </c>
      <c r="F45" s="39"/>
      <c r="G45" s="15">
        <v>20</v>
      </c>
      <c r="H45" s="15">
        <v>20</v>
      </c>
      <c r="I45" s="15">
        <v>20</v>
      </c>
      <c r="J45" s="15">
        <v>20</v>
      </c>
      <c r="K45" s="15">
        <v>20</v>
      </c>
      <c r="L45" s="15">
        <v>16</v>
      </c>
      <c r="M45" s="15">
        <v>80</v>
      </c>
      <c r="N45" s="15">
        <v>80</v>
      </c>
      <c r="O45" s="15">
        <v>80</v>
      </c>
      <c r="P45" s="15">
        <v>80</v>
      </c>
      <c r="Q45" s="15">
        <v>80</v>
      </c>
      <c r="R45" s="15">
        <v>100</v>
      </c>
      <c r="S45" s="15">
        <v>100</v>
      </c>
      <c r="T45" s="15">
        <v>97</v>
      </c>
      <c r="U45" s="15">
        <v>104</v>
      </c>
      <c r="V45" s="15">
        <v>100</v>
      </c>
      <c r="W45" s="15">
        <v>100</v>
      </c>
      <c r="X45" s="15">
        <v>80</v>
      </c>
      <c r="Y45" s="15">
        <v>100</v>
      </c>
      <c r="Z45" s="15">
        <v>80</v>
      </c>
      <c r="AA45" s="15">
        <v>20</v>
      </c>
      <c r="AB45" s="15">
        <v>40</v>
      </c>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row>
    <row r="46" spans="1:41" ht="12" customHeight="1">
      <c r="A46" s="13" t="s">
        <v>494</v>
      </c>
      <c r="B46" s="13" t="s">
        <v>582</v>
      </c>
      <c r="C46" s="35" t="str">
        <f t="shared" si="8"/>
        <v>dw</v>
      </c>
      <c r="D46" s="15" t="s">
        <v>223</v>
      </c>
      <c r="E46" s="13" t="s">
        <v>285</v>
      </c>
      <c r="O46" s="13">
        <v>0</v>
      </c>
      <c r="P46" s="15">
        <v>0</v>
      </c>
      <c r="Q46" s="15">
        <v>5</v>
      </c>
      <c r="R46" s="15">
        <v>11</v>
      </c>
      <c r="S46" s="15">
        <v>16</v>
      </c>
      <c r="T46" s="13">
        <v>21</v>
      </c>
      <c r="U46" s="13">
        <v>27</v>
      </c>
      <c r="W46" s="13">
        <v>16</v>
      </c>
      <c r="X46" s="13">
        <v>27</v>
      </c>
      <c r="Y46" s="13">
        <v>0</v>
      </c>
      <c r="Z46" s="13">
        <v>0</v>
      </c>
      <c r="AA46" s="13">
        <v>20</v>
      </c>
      <c r="AB46" s="13">
        <v>20</v>
      </c>
      <c r="AC46" s="13">
        <v>60</v>
      </c>
      <c r="AD46" s="13">
        <v>60</v>
      </c>
      <c r="AE46" s="13">
        <v>80</v>
      </c>
      <c r="AF46" s="13">
        <v>80</v>
      </c>
      <c r="AG46" s="13">
        <v>80</v>
      </c>
      <c r="AH46" s="13">
        <v>80</v>
      </c>
      <c r="AI46" s="13">
        <v>80</v>
      </c>
      <c r="AJ46" s="13">
        <v>80</v>
      </c>
      <c r="AK46" s="13">
        <v>80</v>
      </c>
      <c r="AL46" s="13">
        <v>80</v>
      </c>
      <c r="AM46" s="13">
        <v>80</v>
      </c>
      <c r="AN46" s="13">
        <v>100</v>
      </c>
      <c r="AO46" s="13">
        <v>80</v>
      </c>
    </row>
    <row r="47" spans="1:53" ht="12" customHeight="1">
      <c r="A47" s="13" t="s">
        <v>494</v>
      </c>
      <c r="B47" s="13" t="s">
        <v>582</v>
      </c>
      <c r="C47" s="35" t="str">
        <f t="shared" si="8"/>
        <v>dw</v>
      </c>
      <c r="D47" s="15" t="s">
        <v>223</v>
      </c>
      <c r="E47" s="13" t="s">
        <v>754</v>
      </c>
      <c r="F47" s="13" t="s">
        <v>755</v>
      </c>
      <c r="G47" s="15">
        <v>0</v>
      </c>
      <c r="H47" s="15">
        <v>0</v>
      </c>
      <c r="I47" s="15">
        <v>0</v>
      </c>
      <c r="J47" s="15">
        <v>8</v>
      </c>
      <c r="K47" s="15">
        <v>20</v>
      </c>
      <c r="L47" s="15">
        <v>20</v>
      </c>
      <c r="M47" s="15">
        <v>10</v>
      </c>
      <c r="N47" s="15">
        <v>20</v>
      </c>
      <c r="O47" s="15">
        <v>20</v>
      </c>
      <c r="P47" s="15">
        <v>20</v>
      </c>
      <c r="Q47" s="15">
        <v>30</v>
      </c>
      <c r="R47" s="15">
        <v>50</v>
      </c>
      <c r="S47" s="15">
        <v>50</v>
      </c>
      <c r="T47" s="15">
        <v>50</v>
      </c>
      <c r="U47" s="15">
        <v>25</v>
      </c>
      <c r="V47" s="15">
        <v>8</v>
      </c>
      <c r="W47" s="15">
        <v>8</v>
      </c>
      <c r="X47" s="15">
        <v>12</v>
      </c>
      <c r="Y47" s="15">
        <v>40</v>
      </c>
      <c r="Z47" s="15">
        <v>40</v>
      </c>
      <c r="AA47" s="15">
        <v>10</v>
      </c>
      <c r="AB47" s="15">
        <v>4</v>
      </c>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row>
    <row r="48" spans="1:53" ht="12" customHeight="1">
      <c r="A48" s="13" t="s">
        <v>494</v>
      </c>
      <c r="B48" s="13" t="s">
        <v>582</v>
      </c>
      <c r="C48" s="35" t="str">
        <f t="shared" si="8"/>
        <v>dw</v>
      </c>
      <c r="D48" s="15" t="s">
        <v>756</v>
      </c>
      <c r="E48" s="13" t="s">
        <v>757</v>
      </c>
      <c r="F48" s="13" t="s">
        <v>758</v>
      </c>
      <c r="G48" s="39"/>
      <c r="H48" s="39"/>
      <c r="I48" s="39"/>
      <c r="J48" s="39"/>
      <c r="K48" s="39"/>
      <c r="L48" s="39"/>
      <c r="M48" s="39"/>
      <c r="N48" s="39"/>
      <c r="O48" s="39"/>
      <c r="P48" s="15">
        <v>16</v>
      </c>
      <c r="Q48" s="15">
        <v>4</v>
      </c>
      <c r="R48" s="15">
        <v>2</v>
      </c>
      <c r="S48" s="39"/>
      <c r="T48" s="39"/>
      <c r="U48" s="39"/>
      <c r="V48" s="39"/>
      <c r="W48" s="39"/>
      <c r="X48" s="15">
        <v>20</v>
      </c>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row>
    <row r="49" spans="1:45" ht="12" customHeight="1">
      <c r="A49" s="13" t="s">
        <v>494</v>
      </c>
      <c r="B49" s="13" t="s">
        <v>582</v>
      </c>
      <c r="D49" s="13" t="s">
        <v>756</v>
      </c>
      <c r="E49" s="13" t="s">
        <v>760</v>
      </c>
      <c r="F49" s="13" t="s">
        <v>761</v>
      </c>
      <c r="G49" s="39"/>
      <c r="H49" s="39"/>
      <c r="I49" s="39"/>
      <c r="J49" s="39"/>
      <c r="K49" s="39"/>
      <c r="L49" s="39"/>
      <c r="M49" s="39"/>
      <c r="AN49" s="13">
        <v>0</v>
      </c>
      <c r="AO49" s="13">
        <v>20</v>
      </c>
      <c r="AP49" s="13">
        <v>40</v>
      </c>
      <c r="AQ49" s="13">
        <v>40</v>
      </c>
      <c r="AR49" s="13">
        <v>20</v>
      </c>
      <c r="AS49" s="13">
        <v>10</v>
      </c>
    </row>
    <row r="50" spans="1:53" ht="12" customHeight="1">
      <c r="A50" s="13" t="s">
        <v>494</v>
      </c>
      <c r="B50" s="13" t="s">
        <v>582</v>
      </c>
      <c r="D50" s="15" t="s">
        <v>756</v>
      </c>
      <c r="E50" s="13" t="s">
        <v>167</v>
      </c>
      <c r="F50" s="13" t="s">
        <v>762</v>
      </c>
      <c r="G50" s="39"/>
      <c r="H50" s="39"/>
      <c r="I50" s="39"/>
      <c r="J50" s="39"/>
      <c r="K50" s="39"/>
      <c r="L50" s="39"/>
      <c r="M50" s="39"/>
      <c r="N50" s="39"/>
      <c r="O50" s="39"/>
      <c r="P50" s="39"/>
      <c r="Q50" s="39"/>
      <c r="R50" s="39"/>
      <c r="S50" s="39"/>
      <c r="T50" s="39"/>
      <c r="U50" s="39"/>
      <c r="V50" s="39"/>
      <c r="W50" s="39"/>
      <c r="X50" s="39"/>
      <c r="Y50" s="39"/>
      <c r="Z50" s="39"/>
      <c r="AA50" s="39"/>
      <c r="AB50" s="15">
        <v>10</v>
      </c>
      <c r="AC50" s="15">
        <v>10</v>
      </c>
      <c r="AD50" s="15">
        <v>10</v>
      </c>
      <c r="AE50" s="15">
        <v>10</v>
      </c>
      <c r="AF50" s="15">
        <v>10</v>
      </c>
      <c r="AG50" s="15">
        <v>10</v>
      </c>
      <c r="AH50" s="15">
        <v>10</v>
      </c>
      <c r="AI50" s="15">
        <v>10</v>
      </c>
      <c r="AJ50" s="15">
        <v>10</v>
      </c>
      <c r="AK50" s="15">
        <v>10</v>
      </c>
      <c r="AL50" s="15">
        <v>10</v>
      </c>
      <c r="AM50" s="15">
        <v>10</v>
      </c>
      <c r="AN50" s="15">
        <v>10</v>
      </c>
      <c r="AO50" s="15">
        <v>10</v>
      </c>
      <c r="AP50" s="15">
        <v>10</v>
      </c>
      <c r="AQ50" s="15">
        <v>10</v>
      </c>
      <c r="AR50" s="15">
        <v>10</v>
      </c>
      <c r="AS50" s="15">
        <v>10</v>
      </c>
      <c r="AT50" s="15">
        <v>10</v>
      </c>
      <c r="AU50" s="15">
        <v>10</v>
      </c>
      <c r="AV50" s="15">
        <v>10</v>
      </c>
      <c r="AW50" s="15">
        <v>10</v>
      </c>
      <c r="AX50" s="15">
        <v>10</v>
      </c>
      <c r="AY50" s="15">
        <v>10</v>
      </c>
      <c r="AZ50" s="15">
        <v>10</v>
      </c>
      <c r="BA50" s="15">
        <v>0</v>
      </c>
    </row>
    <row r="51" spans="1:53" ht="12" customHeight="1">
      <c r="A51" s="13" t="s">
        <v>494</v>
      </c>
      <c r="B51" s="13" t="s">
        <v>582</v>
      </c>
      <c r="D51" s="15" t="s">
        <v>756</v>
      </c>
      <c r="E51" s="13" t="s">
        <v>14</v>
      </c>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15">
        <v>80</v>
      </c>
      <c r="AS51" s="15">
        <v>80</v>
      </c>
      <c r="AT51" s="15">
        <v>80</v>
      </c>
      <c r="AU51" s="15">
        <v>80</v>
      </c>
      <c r="AV51" s="15">
        <v>80</v>
      </c>
      <c r="AW51" s="15">
        <v>80</v>
      </c>
      <c r="AX51" s="15">
        <v>80</v>
      </c>
      <c r="AY51" s="15">
        <v>80</v>
      </c>
      <c r="AZ51" s="15">
        <v>80</v>
      </c>
      <c r="BA51" s="15">
        <v>0</v>
      </c>
    </row>
    <row r="52" spans="1:53" ht="12" customHeight="1">
      <c r="A52" s="13" t="s">
        <v>494</v>
      </c>
      <c r="B52" s="13" t="s">
        <v>582</v>
      </c>
      <c r="C52" s="35" t="str">
        <f aca="true" t="shared" si="10" ref="C52:C85">B52&amp;IF(LEFT(E52,5)="TOTAL","T","")</f>
        <v>dw</v>
      </c>
      <c r="D52" s="15" t="s">
        <v>223</v>
      </c>
      <c r="E52" s="15" t="s">
        <v>151</v>
      </c>
      <c r="F52" s="39"/>
      <c r="G52" s="50">
        <v>0</v>
      </c>
      <c r="H52" s="50">
        <v>0</v>
      </c>
      <c r="I52" s="50">
        <v>0</v>
      </c>
      <c r="J52" s="50">
        <v>0</v>
      </c>
      <c r="K52" s="50">
        <v>8</v>
      </c>
      <c r="L52" s="50">
        <v>112</v>
      </c>
      <c r="M52" s="50">
        <v>0</v>
      </c>
      <c r="N52" s="50">
        <v>0</v>
      </c>
      <c r="O52" s="50">
        <v>8</v>
      </c>
      <c r="P52" s="50">
        <v>16</v>
      </c>
      <c r="Q52" s="50">
        <v>40</v>
      </c>
      <c r="R52" s="50">
        <v>24</v>
      </c>
      <c r="S52" s="50">
        <v>8</v>
      </c>
      <c r="T52" s="50">
        <v>40</v>
      </c>
      <c r="U52" s="50">
        <v>40</v>
      </c>
      <c r="V52" s="50">
        <v>16</v>
      </c>
      <c r="W52" s="50">
        <v>60</v>
      </c>
      <c r="X52" s="141"/>
      <c r="Y52" s="141"/>
      <c r="Z52" s="50">
        <v>80</v>
      </c>
      <c r="AA52" s="50">
        <v>80</v>
      </c>
      <c r="AB52" s="141"/>
      <c r="AC52" s="141"/>
      <c r="AD52" s="141"/>
      <c r="AE52" s="141"/>
      <c r="AF52" s="50">
        <v>0</v>
      </c>
      <c r="AG52" s="50">
        <v>48</v>
      </c>
      <c r="AH52" s="141"/>
      <c r="AI52" s="141"/>
      <c r="AJ52" s="141"/>
      <c r="AK52" s="50">
        <v>40</v>
      </c>
      <c r="AL52" s="50">
        <v>80</v>
      </c>
      <c r="AM52" s="50">
        <v>72</v>
      </c>
      <c r="AN52" s="141"/>
      <c r="AO52" s="141"/>
      <c r="AP52" s="141"/>
      <c r="AQ52" s="141"/>
      <c r="AR52" s="141"/>
      <c r="AS52" s="141"/>
      <c r="AT52" s="141"/>
      <c r="AU52" s="141"/>
      <c r="AV52" s="141"/>
      <c r="AW52" s="141"/>
      <c r="AX52" s="141"/>
      <c r="AY52" s="141"/>
      <c r="AZ52" s="141"/>
      <c r="BA52" s="141"/>
    </row>
    <row r="53" spans="1:53" ht="12" customHeight="1">
      <c r="A53" s="45" t="str">
        <f>A47</f>
        <v>dev</v>
      </c>
      <c r="B53" s="57" t="s">
        <v>582</v>
      </c>
      <c r="C53" s="45" t="str">
        <f t="shared" si="10"/>
        <v>dwT</v>
      </c>
      <c r="D53" s="70" t="str">
        <f>D47</f>
        <v>Offshore team</v>
      </c>
      <c r="E53" s="47" t="str">
        <f>"TOTAL Avail: "&amp;D53</f>
        <v>TOTAL Avail: Offshore team</v>
      </c>
      <c r="F53" s="49"/>
      <c r="G53" s="51" t="str">
        <f aca="true" t="shared" si="11" ref="G53:L53">180-SUM(G42:G52)</f>
        <v>60</v>
      </c>
      <c r="H53" s="51" t="str">
        <f t="shared" si="11"/>
        <v>60</v>
      </c>
      <c r="I53" s="51" t="str">
        <f t="shared" si="11"/>
        <v>60</v>
      </c>
      <c r="J53" s="51" t="str">
        <f t="shared" si="11"/>
        <v>-4</v>
      </c>
      <c r="K53" s="51" t="str">
        <f t="shared" si="11"/>
        <v>-8</v>
      </c>
      <c r="L53" s="51" t="str">
        <f t="shared" si="11"/>
        <v>-4</v>
      </c>
      <c r="M53" s="51" t="str">
        <f aca="true" t="shared" si="12" ref="M53:V53">300-SUM(M42:M52)</f>
        <v>-74</v>
      </c>
      <c r="N53" s="51" t="str">
        <f t="shared" si="12"/>
        <v>-74</v>
      </c>
      <c r="O53" s="51" t="str">
        <f t="shared" si="12"/>
        <v>-28</v>
      </c>
      <c r="P53" s="51" t="str">
        <f t="shared" si="12"/>
        <v>-52</v>
      </c>
      <c r="Q53" s="51" t="str">
        <f t="shared" si="12"/>
        <v>-79</v>
      </c>
      <c r="R53" s="51" t="str">
        <f t="shared" si="12"/>
        <v>0</v>
      </c>
      <c r="S53" s="51" t="str">
        <f t="shared" si="12"/>
        <v>0</v>
      </c>
      <c r="T53" s="51" t="str">
        <f t="shared" si="12"/>
        <v>0</v>
      </c>
      <c r="U53" s="51" t="str">
        <f t="shared" si="12"/>
        <v>0</v>
      </c>
      <c r="V53" s="51" t="str">
        <f t="shared" si="12"/>
        <v>44</v>
      </c>
      <c r="W53" s="51" t="str">
        <f aca="true" t="shared" si="13" ref="W53:Y53">280-SUM(W42:W52)</f>
        <v>-4</v>
      </c>
      <c r="X53" s="51" t="str">
        <f t="shared" si="13"/>
        <v>1</v>
      </c>
      <c r="Y53" s="51" t="str">
        <f t="shared" si="13"/>
        <v>0</v>
      </c>
      <c r="Z53" s="51" t="str">
        <f>260-SUM(Z42:Z52)</f>
        <v>0</v>
      </c>
      <c r="AA53" s="51" t="str">
        <f aca="true" t="shared" si="14" ref="AA53:BA53">240-SUM(AA42:AA52)</f>
        <v>0</v>
      </c>
      <c r="AB53" s="51" t="str">
        <f t="shared" si="14"/>
        <v>0</v>
      </c>
      <c r="AC53" s="51" t="str">
        <f t="shared" si="14"/>
        <v>10</v>
      </c>
      <c r="AD53" s="51" t="str">
        <f t="shared" si="14"/>
        <v>0</v>
      </c>
      <c r="AE53" s="51" t="str">
        <f t="shared" si="14"/>
        <v>0</v>
      </c>
      <c r="AF53" s="51" t="str">
        <f t="shared" si="14"/>
        <v>0</v>
      </c>
      <c r="AG53" s="51" t="str">
        <f t="shared" si="14"/>
        <v>0</v>
      </c>
      <c r="AH53" s="51" t="str">
        <f t="shared" si="14"/>
        <v>0</v>
      </c>
      <c r="AI53" s="51" t="str">
        <f t="shared" si="14"/>
        <v>0</v>
      </c>
      <c r="AJ53" s="51" t="str">
        <f t="shared" si="14"/>
        <v>0</v>
      </c>
      <c r="AK53" s="51" t="str">
        <f t="shared" si="14"/>
        <v>0</v>
      </c>
      <c r="AL53" s="51" t="str">
        <f t="shared" si="14"/>
        <v>0</v>
      </c>
      <c r="AM53" s="51" t="str">
        <f t="shared" si="14"/>
        <v>0</v>
      </c>
      <c r="AN53" s="51" t="str">
        <f t="shared" si="14"/>
        <v>20</v>
      </c>
      <c r="AO53" s="51" t="str">
        <f t="shared" si="14"/>
        <v>20</v>
      </c>
      <c r="AP53" s="51" t="str">
        <f t="shared" si="14"/>
        <v>70</v>
      </c>
      <c r="AQ53" s="51" t="str">
        <f t="shared" si="14"/>
        <v>70</v>
      </c>
      <c r="AR53" s="51" t="str">
        <f t="shared" si="14"/>
        <v>10</v>
      </c>
      <c r="AS53" s="51" t="str">
        <f t="shared" si="14"/>
        <v>20</v>
      </c>
      <c r="AT53" s="51" t="str">
        <f t="shared" si="14"/>
        <v>30</v>
      </c>
      <c r="AU53" s="51" t="str">
        <f t="shared" si="14"/>
        <v>30</v>
      </c>
      <c r="AV53" s="51" t="str">
        <f t="shared" si="14"/>
        <v>30</v>
      </c>
      <c r="AW53" s="51" t="str">
        <f t="shared" si="14"/>
        <v>30</v>
      </c>
      <c r="AX53" s="51" t="str">
        <f t="shared" si="14"/>
        <v>30</v>
      </c>
      <c r="AY53" s="51" t="str">
        <f t="shared" si="14"/>
        <v>30</v>
      </c>
      <c r="AZ53" s="51" t="str">
        <f t="shared" si="14"/>
        <v>30</v>
      </c>
      <c r="BA53" s="51" t="str">
        <f t="shared" si="14"/>
        <v>120</v>
      </c>
    </row>
    <row r="54" spans="1:37" ht="12" customHeight="1">
      <c r="A54" s="13" t="s">
        <v>494</v>
      </c>
      <c r="B54" s="13" t="s">
        <v>588</v>
      </c>
      <c r="C54" s="35" t="str">
        <f t="shared" si="10"/>
        <v>ops</v>
      </c>
      <c r="D54" s="15" t="s">
        <v>48</v>
      </c>
      <c r="E54" s="15" t="s">
        <v>142</v>
      </c>
      <c r="F54" s="39"/>
      <c r="G54" s="50">
        <v>0</v>
      </c>
      <c r="H54" s="50">
        <v>0</v>
      </c>
      <c r="I54" s="50">
        <v>10</v>
      </c>
      <c r="J54" s="50">
        <v>8</v>
      </c>
      <c r="K54" s="50">
        <v>2</v>
      </c>
      <c r="L54" s="50">
        <v>10</v>
      </c>
      <c r="M54" s="50">
        <v>0</v>
      </c>
      <c r="N54" s="13">
        <v>12</v>
      </c>
      <c r="O54" s="13">
        <v>12</v>
      </c>
      <c r="P54" s="13">
        <v>6</v>
      </c>
      <c r="Q54" s="13">
        <v>12</v>
      </c>
      <c r="R54" s="13">
        <v>5</v>
      </c>
      <c r="S54" s="13">
        <v>15</v>
      </c>
      <c r="T54" s="13">
        <v>16</v>
      </c>
      <c r="U54" s="13">
        <v>16</v>
      </c>
      <c r="V54" s="13">
        <v>8</v>
      </c>
      <c r="W54" s="13">
        <v>14</v>
      </c>
      <c r="X54" s="13">
        <v>16</v>
      </c>
      <c r="Y54" s="13">
        <v>12</v>
      </c>
      <c r="Z54" s="13">
        <v>6</v>
      </c>
      <c r="AA54" s="13">
        <v>12</v>
      </c>
      <c r="AB54" s="13">
        <v>12</v>
      </c>
      <c r="AC54" s="13">
        <v>12</v>
      </c>
      <c r="AD54" s="13">
        <v>12</v>
      </c>
      <c r="AE54" s="13">
        <v>12</v>
      </c>
      <c r="AF54" s="13">
        <v>12</v>
      </c>
      <c r="AG54" s="13">
        <v>12</v>
      </c>
      <c r="AI54" s="13">
        <v>12</v>
      </c>
      <c r="AJ54" s="13">
        <v>12</v>
      </c>
      <c r="AK54" s="13">
        <v>4</v>
      </c>
    </row>
    <row r="55" spans="1:52" ht="12" customHeight="1">
      <c r="A55" s="13" t="s">
        <v>494</v>
      </c>
      <c r="B55" s="13" t="s">
        <v>588</v>
      </c>
      <c r="C55" s="35" t="str">
        <f t="shared" si="10"/>
        <v>ops</v>
      </c>
      <c r="D55" s="15" t="s">
        <v>48</v>
      </c>
      <c r="E55" s="15" t="s">
        <v>14</v>
      </c>
      <c r="G55" s="50">
        <v>0</v>
      </c>
      <c r="H55" s="50">
        <v>0</v>
      </c>
      <c r="I55" s="50">
        <v>4</v>
      </c>
      <c r="J55" s="50">
        <v>2</v>
      </c>
      <c r="K55" s="50">
        <v>2</v>
      </c>
      <c r="L55" s="50">
        <v>2</v>
      </c>
      <c r="M55" s="50">
        <v>2</v>
      </c>
      <c r="N55" s="13">
        <v>0</v>
      </c>
      <c r="O55" s="13">
        <v>0</v>
      </c>
      <c r="P55" s="13">
        <v>2</v>
      </c>
      <c r="Q55" s="13">
        <v>2</v>
      </c>
      <c r="R55" s="13">
        <v>0</v>
      </c>
      <c r="S55" s="13">
        <v>0</v>
      </c>
      <c r="T55" s="13">
        <v>0</v>
      </c>
      <c r="U55" s="13">
        <v>0</v>
      </c>
      <c r="W55" s="13">
        <v>2</v>
      </c>
      <c r="X55" s="13">
        <v>2</v>
      </c>
      <c r="Y55" s="13">
        <v>2</v>
      </c>
      <c r="AC55" s="13">
        <v>2</v>
      </c>
      <c r="AJ55" s="13">
        <v>2</v>
      </c>
      <c r="AK55" s="13">
        <v>2</v>
      </c>
      <c r="AN55" s="13">
        <v>4</v>
      </c>
      <c r="AO55" s="13">
        <v>4</v>
      </c>
      <c r="AP55" s="13">
        <v>4</v>
      </c>
      <c r="AQ55" s="13">
        <v>4</v>
      </c>
      <c r="AR55" s="13">
        <v>4</v>
      </c>
      <c r="AS55" s="13">
        <v>4</v>
      </c>
      <c r="AT55" s="13">
        <v>4</v>
      </c>
      <c r="AU55" s="13">
        <v>4</v>
      </c>
      <c r="AV55" s="13">
        <v>4</v>
      </c>
      <c r="AW55" s="13">
        <v>4</v>
      </c>
      <c r="AX55" s="13">
        <v>4</v>
      </c>
      <c r="AY55" s="13">
        <v>4</v>
      </c>
      <c r="AZ55" s="13">
        <v>4</v>
      </c>
    </row>
    <row r="56" spans="1:36" ht="12" customHeight="1">
      <c r="A56" s="13" t="s">
        <v>494</v>
      </c>
      <c r="B56" s="13" t="s">
        <v>588</v>
      </c>
      <c r="C56" s="35" t="str">
        <f t="shared" si="10"/>
        <v>ops</v>
      </c>
      <c r="D56" s="15" t="s">
        <v>48</v>
      </c>
      <c r="E56" s="13" t="s">
        <v>384</v>
      </c>
      <c r="F56" s="13" t="s">
        <v>782</v>
      </c>
      <c r="G56" s="39"/>
      <c r="H56" s="39"/>
      <c r="I56" s="15">
        <v>4</v>
      </c>
      <c r="J56" s="15">
        <v>4</v>
      </c>
      <c r="K56" s="15">
        <v>4</v>
      </c>
      <c r="L56" s="15">
        <v>4</v>
      </c>
      <c r="M56" s="13">
        <v>4</v>
      </c>
      <c r="N56" s="13">
        <v>0</v>
      </c>
      <c r="O56" s="13">
        <v>4</v>
      </c>
      <c r="P56" s="13">
        <v>4</v>
      </c>
      <c r="Q56" s="13">
        <v>1</v>
      </c>
      <c r="R56" s="13">
        <v>0</v>
      </c>
      <c r="S56" s="13">
        <v>4</v>
      </c>
      <c r="T56" s="13">
        <v>3</v>
      </c>
      <c r="U56" s="13">
        <v>2</v>
      </c>
      <c r="V56" s="13">
        <v>2</v>
      </c>
      <c r="W56" s="13">
        <v>24</v>
      </c>
      <c r="X56" s="13">
        <v>2</v>
      </c>
      <c r="Y56" s="13">
        <v>2</v>
      </c>
      <c r="Z56" s="13">
        <v>4</v>
      </c>
      <c r="AA56" s="13">
        <v>4</v>
      </c>
      <c r="AB56" s="13">
        <v>4</v>
      </c>
      <c r="AC56" s="13">
        <v>2</v>
      </c>
      <c r="AD56" s="13">
        <v>2</v>
      </c>
      <c r="AE56" s="13">
        <v>2</v>
      </c>
      <c r="AF56" s="13">
        <v>2</v>
      </c>
      <c r="AG56" s="13">
        <v>2</v>
      </c>
      <c r="AI56" s="13">
        <v>2</v>
      </c>
      <c r="AJ56" s="13">
        <v>2</v>
      </c>
    </row>
    <row r="57" spans="1:52" ht="12" customHeight="1">
      <c r="A57" s="13" t="s">
        <v>494</v>
      </c>
      <c r="B57" s="13" t="s">
        <v>588</v>
      </c>
      <c r="C57" s="35" t="str">
        <f t="shared" si="10"/>
        <v>ops</v>
      </c>
      <c r="D57" s="15" t="s">
        <v>48</v>
      </c>
      <c r="E57" s="13" t="s">
        <v>588</v>
      </c>
      <c r="F57" s="13" t="s">
        <v>588</v>
      </c>
      <c r="G57" s="39"/>
      <c r="H57" s="39"/>
      <c r="I57" s="39"/>
      <c r="J57" s="15">
        <v>6</v>
      </c>
      <c r="K57" s="39"/>
      <c r="L57" s="39"/>
      <c r="M57" s="39"/>
      <c r="N57" s="13">
        <v>8</v>
      </c>
      <c r="O57" s="13">
        <v>8</v>
      </c>
      <c r="P57" s="13">
        <v>8</v>
      </c>
      <c r="Q57" s="13">
        <v>12</v>
      </c>
      <c r="R57" s="13">
        <v>0</v>
      </c>
      <c r="S57" s="13">
        <v>6</v>
      </c>
      <c r="T57" s="13">
        <v>8</v>
      </c>
      <c r="U57" s="13">
        <v>8</v>
      </c>
      <c r="V57" s="13">
        <v>12</v>
      </c>
      <c r="W57" s="13">
        <v>8</v>
      </c>
      <c r="X57" s="13">
        <v>12</v>
      </c>
      <c r="Y57" s="13">
        <v>4</v>
      </c>
      <c r="Z57" s="13">
        <v>6</v>
      </c>
      <c r="AA57" s="13">
        <v>8</v>
      </c>
      <c r="AB57" s="13">
        <v>12</v>
      </c>
      <c r="AC57" s="13">
        <v>12</v>
      </c>
      <c r="AD57" s="13">
        <v>12</v>
      </c>
      <c r="AE57" s="13">
        <v>12</v>
      </c>
      <c r="AF57" s="13">
        <v>12</v>
      </c>
      <c r="AG57" s="13">
        <v>12</v>
      </c>
      <c r="AH57" s="13">
        <v>8</v>
      </c>
      <c r="AI57" s="13">
        <v>12</v>
      </c>
      <c r="AJ57" s="13">
        <v>12</v>
      </c>
      <c r="AK57" s="13">
        <v>4</v>
      </c>
      <c r="AL57" s="13">
        <v>16</v>
      </c>
      <c r="AM57" s="13">
        <v>16</v>
      </c>
      <c r="AN57" s="13">
        <v>12</v>
      </c>
      <c r="AO57" s="13">
        <v>12</v>
      </c>
      <c r="AP57" s="13">
        <v>12</v>
      </c>
      <c r="AQ57" s="13">
        <v>12</v>
      </c>
      <c r="AR57" s="13">
        <v>12</v>
      </c>
      <c r="AS57" s="13">
        <v>12</v>
      </c>
      <c r="AT57" s="13">
        <v>12</v>
      </c>
      <c r="AU57" s="13">
        <v>12</v>
      </c>
      <c r="AV57" s="13">
        <v>12</v>
      </c>
      <c r="AW57" s="13">
        <v>12</v>
      </c>
      <c r="AX57" s="13">
        <v>12</v>
      </c>
      <c r="AY57" s="13">
        <v>12</v>
      </c>
      <c r="AZ57" s="13">
        <v>12</v>
      </c>
    </row>
    <row r="58" spans="1:29" ht="12" customHeight="1">
      <c r="A58" s="13" t="s">
        <v>494</v>
      </c>
      <c r="B58" s="13" t="s">
        <v>588</v>
      </c>
      <c r="C58" s="35" t="str">
        <f t="shared" si="10"/>
        <v>ops</v>
      </c>
      <c r="D58" s="15" t="s">
        <v>48</v>
      </c>
      <c r="E58" s="13" t="s">
        <v>760</v>
      </c>
      <c r="F58" s="15" t="s">
        <v>784</v>
      </c>
      <c r="G58" s="15">
        <v>15</v>
      </c>
      <c r="H58" s="15">
        <v>10</v>
      </c>
      <c r="I58" s="15">
        <v>10</v>
      </c>
      <c r="J58" s="15">
        <v>10</v>
      </c>
      <c r="K58" s="15">
        <v>10</v>
      </c>
      <c r="L58" s="15">
        <v>10</v>
      </c>
      <c r="M58" s="15">
        <v>10</v>
      </c>
      <c r="N58" s="13">
        <v>10</v>
      </c>
      <c r="O58" s="13">
        <v>5</v>
      </c>
      <c r="P58" s="13">
        <v>2</v>
      </c>
      <c r="Q58" s="13">
        <v>2</v>
      </c>
      <c r="T58" s="13">
        <v>4</v>
      </c>
      <c r="U58" s="13">
        <v>4</v>
      </c>
      <c r="V58" s="13">
        <v>4</v>
      </c>
      <c r="W58" s="13">
        <v>4</v>
      </c>
      <c r="X58" s="13">
        <v>4</v>
      </c>
      <c r="Y58" s="13">
        <v>4</v>
      </c>
      <c r="Z58" s="13">
        <v>0</v>
      </c>
      <c r="AA58" s="13">
        <v>0</v>
      </c>
      <c r="AB58" s="13">
        <v>2</v>
      </c>
      <c r="AC58" s="13">
        <v>2</v>
      </c>
    </row>
    <row r="59" spans="1:52" ht="12" customHeight="1">
      <c r="A59" s="13" t="s">
        <v>494</v>
      </c>
      <c r="B59" s="13" t="s">
        <v>588</v>
      </c>
      <c r="C59" s="35" t="str">
        <f t="shared" si="10"/>
        <v>ops</v>
      </c>
      <c r="D59" s="15" t="s">
        <v>48</v>
      </c>
      <c r="E59" s="13" t="s">
        <v>285</v>
      </c>
      <c r="F59" s="13" t="s">
        <v>785</v>
      </c>
      <c r="G59" s="15">
        <v>1</v>
      </c>
      <c r="H59" s="15">
        <v>1</v>
      </c>
      <c r="I59" s="15">
        <v>1</v>
      </c>
      <c r="J59" s="15">
        <v>1</v>
      </c>
      <c r="K59" s="15">
        <v>1</v>
      </c>
      <c r="L59" s="15">
        <v>0</v>
      </c>
      <c r="M59" s="15">
        <v>2</v>
      </c>
      <c r="N59" s="15">
        <v>2</v>
      </c>
      <c r="O59" s="15">
        <v>5</v>
      </c>
      <c r="P59" s="15">
        <v>2</v>
      </c>
      <c r="Q59" s="39"/>
      <c r="R59" s="15">
        <v>4</v>
      </c>
      <c r="S59" s="15">
        <v>4</v>
      </c>
      <c r="T59" s="13">
        <v>2</v>
      </c>
      <c r="U59" s="13">
        <v>2</v>
      </c>
      <c r="V59" s="13">
        <v>2</v>
      </c>
      <c r="W59" s="13">
        <v>4</v>
      </c>
      <c r="X59" s="13">
        <v>2</v>
      </c>
      <c r="Y59" s="13">
        <v>6</v>
      </c>
      <c r="Z59" s="13">
        <v>2</v>
      </c>
      <c r="AA59" s="13">
        <v>4</v>
      </c>
      <c r="AB59" s="13">
        <v>4</v>
      </c>
      <c r="AC59" s="13">
        <v>4</v>
      </c>
      <c r="AD59" s="13">
        <v>6</v>
      </c>
      <c r="AE59" s="13">
        <v>6</v>
      </c>
      <c r="AF59" s="13">
        <v>6</v>
      </c>
      <c r="AG59" s="13">
        <v>6</v>
      </c>
      <c r="AI59" s="13">
        <v>6</v>
      </c>
      <c r="AJ59" s="13">
        <v>6</v>
      </c>
      <c r="AK59" s="13">
        <v>6</v>
      </c>
      <c r="AN59" s="13">
        <v>6</v>
      </c>
      <c r="AO59" s="13">
        <v>6</v>
      </c>
      <c r="AP59" s="13">
        <v>6</v>
      </c>
      <c r="AQ59" s="13">
        <v>6</v>
      </c>
      <c r="AR59" s="13">
        <v>6</v>
      </c>
      <c r="AS59" s="13">
        <v>6</v>
      </c>
      <c r="AT59" s="13">
        <v>6</v>
      </c>
      <c r="AU59" s="13">
        <v>6</v>
      </c>
      <c r="AV59" s="13">
        <v>6</v>
      </c>
      <c r="AW59" s="13">
        <v>6</v>
      </c>
      <c r="AX59" s="13">
        <v>6</v>
      </c>
      <c r="AY59" s="13">
        <v>6</v>
      </c>
      <c r="AZ59" s="13">
        <v>6</v>
      </c>
    </row>
    <row r="60" spans="1:39" ht="12" customHeight="1">
      <c r="A60" s="13" t="s">
        <v>494</v>
      </c>
      <c r="B60" s="13" t="s">
        <v>588</v>
      </c>
      <c r="C60" s="35" t="str">
        <f t="shared" si="10"/>
        <v>ops</v>
      </c>
      <c r="D60" s="15" t="s">
        <v>48</v>
      </c>
      <c r="E60" s="15" t="s">
        <v>151</v>
      </c>
      <c r="F60" s="39"/>
      <c r="G60" s="50">
        <v>0</v>
      </c>
      <c r="H60" s="50">
        <v>7</v>
      </c>
      <c r="I60" s="50">
        <v>0</v>
      </c>
      <c r="J60" s="50">
        <v>0</v>
      </c>
      <c r="K60" s="50">
        <v>16</v>
      </c>
      <c r="L60" s="50">
        <v>8</v>
      </c>
      <c r="M60" s="50">
        <v>16</v>
      </c>
      <c r="N60" s="13">
        <v>0</v>
      </c>
      <c r="O60" s="13">
        <v>0</v>
      </c>
      <c r="P60" s="13">
        <v>10</v>
      </c>
      <c r="Q60" s="13">
        <v>0</v>
      </c>
      <c r="R60" s="13">
        <v>20</v>
      </c>
      <c r="S60" s="13">
        <v>0</v>
      </c>
      <c r="T60" s="13">
        <v>0</v>
      </c>
      <c r="U60" s="13">
        <v>0</v>
      </c>
      <c r="V60" s="13">
        <v>6</v>
      </c>
      <c r="Y60" s="13">
        <v>6</v>
      </c>
      <c r="Z60" s="13">
        <v>16</v>
      </c>
      <c r="AA60" s="13">
        <v>4</v>
      </c>
      <c r="AH60" s="13">
        <v>24</v>
      </c>
      <c r="AK60" s="13">
        <v>12</v>
      </c>
      <c r="AL60" s="13">
        <v>16</v>
      </c>
      <c r="AM60" s="13">
        <v>16</v>
      </c>
    </row>
    <row r="61" spans="1:53" ht="12.75">
      <c r="A61" s="13" t="s">
        <v>494</v>
      </c>
      <c r="B61" s="57" t="s">
        <v>588</v>
      </c>
      <c r="C61" s="45" t="str">
        <f t="shared" si="10"/>
        <v>opsT</v>
      </c>
      <c r="D61" s="70" t="str">
        <f>D60</f>
        <v>PMcElroy</v>
      </c>
      <c r="E61" s="47" t="str">
        <f>"TOTAL Avail: "&amp;D61</f>
        <v>TOTAL Avail: PMcElroy</v>
      </c>
      <c r="F61" s="49"/>
      <c r="G61" s="51" t="str">
        <f aca="true" t="shared" si="15" ref="G61:BA61">32-SUM(G54:G60)</f>
        <v>16</v>
      </c>
      <c r="H61" s="51" t="str">
        <f t="shared" si="15"/>
        <v>14</v>
      </c>
      <c r="I61" s="51" t="str">
        <f t="shared" si="15"/>
        <v>3</v>
      </c>
      <c r="J61" s="51" t="str">
        <f t="shared" si="15"/>
        <v>1</v>
      </c>
      <c r="K61" s="51" t="str">
        <f t="shared" si="15"/>
        <v>-3</v>
      </c>
      <c r="L61" s="51" t="str">
        <f t="shared" si="15"/>
        <v>-2</v>
      </c>
      <c r="M61" s="51" t="str">
        <f t="shared" si="15"/>
        <v>-2</v>
      </c>
      <c r="N61" s="51" t="str">
        <f t="shared" si="15"/>
        <v>0</v>
      </c>
      <c r="O61" s="51" t="str">
        <f t="shared" si="15"/>
        <v>-2</v>
      </c>
      <c r="P61" s="51" t="str">
        <f t="shared" si="15"/>
        <v>-2</v>
      </c>
      <c r="Q61" s="51" t="str">
        <f t="shared" si="15"/>
        <v>3</v>
      </c>
      <c r="R61" s="51" t="str">
        <f t="shared" si="15"/>
        <v>3</v>
      </c>
      <c r="S61" s="51" t="str">
        <f t="shared" si="15"/>
        <v>3</v>
      </c>
      <c r="T61" s="51" t="str">
        <f t="shared" si="15"/>
        <v>-1</v>
      </c>
      <c r="U61" s="51" t="str">
        <f t="shared" si="15"/>
        <v>0</v>
      </c>
      <c r="V61" s="51" t="str">
        <f t="shared" si="15"/>
        <v>-2</v>
      </c>
      <c r="W61" s="51" t="str">
        <f t="shared" si="15"/>
        <v>-24</v>
      </c>
      <c r="X61" s="51" t="str">
        <f t="shared" si="15"/>
        <v>-6</v>
      </c>
      <c r="Y61" s="51" t="str">
        <f t="shared" si="15"/>
        <v>-4</v>
      </c>
      <c r="Z61" s="51" t="str">
        <f t="shared" si="15"/>
        <v>-2</v>
      </c>
      <c r="AA61" s="51" t="str">
        <f t="shared" si="15"/>
        <v>0</v>
      </c>
      <c r="AB61" s="51" t="str">
        <f t="shared" si="15"/>
        <v>-2</v>
      </c>
      <c r="AC61" s="51" t="str">
        <f t="shared" si="15"/>
        <v>-2</v>
      </c>
      <c r="AD61" s="51" t="str">
        <f t="shared" si="15"/>
        <v>0</v>
      </c>
      <c r="AE61" s="51" t="str">
        <f t="shared" si="15"/>
        <v>0</v>
      </c>
      <c r="AF61" s="51" t="str">
        <f t="shared" si="15"/>
        <v>0</v>
      </c>
      <c r="AG61" s="51" t="str">
        <f t="shared" si="15"/>
        <v>0</v>
      </c>
      <c r="AH61" s="51" t="str">
        <f t="shared" si="15"/>
        <v>0</v>
      </c>
      <c r="AI61" s="51" t="str">
        <f t="shared" si="15"/>
        <v>0</v>
      </c>
      <c r="AJ61" s="51" t="str">
        <f t="shared" si="15"/>
        <v>-2</v>
      </c>
      <c r="AK61" s="51" t="str">
        <f t="shared" si="15"/>
        <v>4</v>
      </c>
      <c r="AL61" s="51" t="str">
        <f t="shared" si="15"/>
        <v>0</v>
      </c>
      <c r="AM61" s="51" t="str">
        <f t="shared" si="15"/>
        <v>0</v>
      </c>
      <c r="AN61" s="51" t="str">
        <f t="shared" si="15"/>
        <v>10</v>
      </c>
      <c r="AO61" s="51" t="str">
        <f t="shared" si="15"/>
        <v>10</v>
      </c>
      <c r="AP61" s="51" t="str">
        <f t="shared" si="15"/>
        <v>10</v>
      </c>
      <c r="AQ61" s="51" t="str">
        <f t="shared" si="15"/>
        <v>10</v>
      </c>
      <c r="AR61" s="51" t="str">
        <f t="shared" si="15"/>
        <v>10</v>
      </c>
      <c r="AS61" s="51" t="str">
        <f t="shared" si="15"/>
        <v>10</v>
      </c>
      <c r="AT61" s="51" t="str">
        <f t="shared" si="15"/>
        <v>10</v>
      </c>
      <c r="AU61" s="51" t="str">
        <f t="shared" si="15"/>
        <v>10</v>
      </c>
      <c r="AV61" s="51" t="str">
        <f t="shared" si="15"/>
        <v>10</v>
      </c>
      <c r="AW61" s="51" t="str">
        <f t="shared" si="15"/>
        <v>10</v>
      </c>
      <c r="AX61" s="51" t="str">
        <f t="shared" si="15"/>
        <v>10</v>
      </c>
      <c r="AY61" s="51" t="str">
        <f t="shared" si="15"/>
        <v>10</v>
      </c>
      <c r="AZ61" s="51" t="str">
        <f t="shared" si="15"/>
        <v>10</v>
      </c>
      <c r="BA61" s="51" t="str">
        <f t="shared" si="15"/>
        <v>32</v>
      </c>
    </row>
    <row r="62" spans="1:41" ht="12" customHeight="1">
      <c r="A62" s="13" t="s">
        <v>798</v>
      </c>
      <c r="B62" s="13" t="s">
        <v>717</v>
      </c>
      <c r="C62" s="35" t="str">
        <f t="shared" si="10"/>
        <v>pd</v>
      </c>
      <c r="D62" s="13" t="s">
        <v>70</v>
      </c>
      <c r="E62" s="13" t="s">
        <v>285</v>
      </c>
      <c r="F62" s="13" t="s">
        <v>799</v>
      </c>
      <c r="G62" s="39"/>
      <c r="H62" s="39"/>
      <c r="I62" s="39"/>
      <c r="J62" s="39"/>
      <c r="K62" s="39"/>
      <c r="L62" s="39"/>
      <c r="M62" s="39"/>
      <c r="O62" s="13">
        <v>8</v>
      </c>
      <c r="P62" s="13">
        <v>8</v>
      </c>
      <c r="Q62" s="13">
        <v>4</v>
      </c>
      <c r="R62" s="13">
        <v>2</v>
      </c>
      <c r="S62" s="13">
        <v>4</v>
      </c>
      <c r="T62" s="13">
        <v>4</v>
      </c>
      <c r="U62" s="13">
        <v>2</v>
      </c>
      <c r="V62" s="13">
        <v>2</v>
      </c>
      <c r="X62" s="13">
        <v>2</v>
      </c>
      <c r="AC62" s="13">
        <v>2</v>
      </c>
      <c r="AE62" s="13">
        <v>2</v>
      </c>
      <c r="AF62" s="13">
        <v>2</v>
      </c>
      <c r="AG62" s="13">
        <v>2</v>
      </c>
      <c r="AH62" s="13">
        <v>2</v>
      </c>
      <c r="AI62" s="13">
        <v>2</v>
      </c>
      <c r="AJ62" s="13">
        <v>2</v>
      </c>
      <c r="AK62" s="13">
        <v>2</v>
      </c>
      <c r="AN62" s="13">
        <v>2</v>
      </c>
      <c r="AO62" s="13">
        <v>2</v>
      </c>
    </row>
    <row r="63" spans="1:51" ht="12" customHeight="1">
      <c r="A63" s="13" t="s">
        <v>798</v>
      </c>
      <c r="B63" s="13" t="s">
        <v>717</v>
      </c>
      <c r="C63" s="35" t="str">
        <f t="shared" si="10"/>
        <v>pd</v>
      </c>
      <c r="D63" s="13" t="s">
        <v>70</v>
      </c>
      <c r="E63" s="13" t="s">
        <v>159</v>
      </c>
      <c r="F63" s="13" t="s">
        <v>800</v>
      </c>
      <c r="G63" s="39"/>
      <c r="H63" s="39"/>
      <c r="I63" s="39"/>
      <c r="J63" s="39"/>
      <c r="K63" s="39"/>
      <c r="L63" s="39"/>
      <c r="M63" s="39"/>
      <c r="AE63" s="13">
        <v>4</v>
      </c>
      <c r="AF63" s="13">
        <v>4</v>
      </c>
      <c r="AG63" s="13">
        <v>4</v>
      </c>
      <c r="AH63" s="13">
        <v>4</v>
      </c>
      <c r="AI63" s="13">
        <v>4</v>
      </c>
      <c r="AJ63" s="13">
        <v>4</v>
      </c>
      <c r="AK63" s="13">
        <v>4</v>
      </c>
      <c r="AN63" s="13">
        <v>8</v>
      </c>
      <c r="AO63" s="13">
        <v>8</v>
      </c>
      <c r="AP63" s="13">
        <v>8</v>
      </c>
      <c r="AQ63" s="13">
        <v>8</v>
      </c>
      <c r="AR63" s="13">
        <v>8</v>
      </c>
      <c r="AS63" s="13">
        <v>8</v>
      </c>
      <c r="AT63" s="13">
        <v>8</v>
      </c>
      <c r="AU63" s="13">
        <v>8</v>
      </c>
      <c r="AV63" s="13">
        <v>8</v>
      </c>
      <c r="AW63" s="13">
        <v>8</v>
      </c>
      <c r="AX63" s="13">
        <v>8</v>
      </c>
      <c r="AY63" s="13">
        <v>8</v>
      </c>
    </row>
    <row r="64" spans="1:47" ht="12" customHeight="1">
      <c r="A64" s="13" t="s">
        <v>798</v>
      </c>
      <c r="B64" s="13" t="s">
        <v>717</v>
      </c>
      <c r="C64" s="35" t="str">
        <f t="shared" si="10"/>
        <v>pd</v>
      </c>
      <c r="D64" s="13" t="s">
        <v>70</v>
      </c>
      <c r="E64" s="13" t="s">
        <v>673</v>
      </c>
      <c r="F64" s="13" t="s">
        <v>800</v>
      </c>
      <c r="G64" s="39"/>
      <c r="H64" s="39"/>
      <c r="I64" s="39"/>
      <c r="J64" s="39"/>
      <c r="K64" s="39"/>
      <c r="L64" s="39"/>
      <c r="M64" s="39"/>
      <c r="AJ64" s="13">
        <v>4</v>
      </c>
      <c r="AK64" s="13">
        <v>4</v>
      </c>
      <c r="AN64" s="13">
        <v>8</v>
      </c>
      <c r="AO64" s="13">
        <v>8</v>
      </c>
      <c r="AP64" s="13">
        <v>8</v>
      </c>
      <c r="AQ64" s="13">
        <v>8</v>
      </c>
      <c r="AR64" s="13">
        <v>8</v>
      </c>
      <c r="AS64" s="13">
        <v>8</v>
      </c>
      <c r="AT64" s="13">
        <v>8</v>
      </c>
      <c r="AU64" s="13">
        <v>8</v>
      </c>
    </row>
    <row r="65" spans="1:53" ht="12" customHeight="1">
      <c r="A65" s="13" t="s">
        <v>798</v>
      </c>
      <c r="B65" s="13" t="s">
        <v>717</v>
      </c>
      <c r="C65" s="35" t="str">
        <f t="shared" si="10"/>
        <v>pd</v>
      </c>
      <c r="D65" s="13" t="s">
        <v>70</v>
      </c>
      <c r="E65" s="15" t="s">
        <v>271</v>
      </c>
      <c r="F65" s="13" t="s">
        <v>800</v>
      </c>
      <c r="G65" s="39"/>
      <c r="H65" s="39"/>
      <c r="I65" s="39"/>
      <c r="J65" s="15">
        <v>8</v>
      </c>
      <c r="K65" s="15">
        <v>10</v>
      </c>
      <c r="L65" s="15">
        <v>8</v>
      </c>
      <c r="M65" s="15">
        <v>4</v>
      </c>
      <c r="N65" s="15">
        <v>11</v>
      </c>
      <c r="O65" s="15">
        <v>11</v>
      </c>
      <c r="P65" s="15">
        <v>11</v>
      </c>
      <c r="Q65" s="15">
        <v>4</v>
      </c>
      <c r="R65" s="15">
        <v>11</v>
      </c>
      <c r="S65" s="15">
        <v>11</v>
      </c>
      <c r="T65" s="15">
        <v>11</v>
      </c>
      <c r="U65" s="15">
        <v>11</v>
      </c>
      <c r="V65" s="15">
        <v>4</v>
      </c>
      <c r="W65" s="15">
        <v>11</v>
      </c>
      <c r="X65" s="15">
        <v>11</v>
      </c>
      <c r="Y65" s="15">
        <v>6</v>
      </c>
      <c r="Z65" s="15">
        <v>11</v>
      </c>
      <c r="AA65" s="15">
        <v>15</v>
      </c>
      <c r="AB65" s="15">
        <v>16</v>
      </c>
      <c r="AC65" s="15">
        <v>15</v>
      </c>
      <c r="AD65" s="15">
        <v>15</v>
      </c>
      <c r="AE65" s="15">
        <v>11</v>
      </c>
      <c r="AF65" s="15">
        <v>11</v>
      </c>
      <c r="AG65" s="15">
        <v>25</v>
      </c>
      <c r="AH65" s="15">
        <v>11</v>
      </c>
      <c r="AI65" s="15">
        <v>18</v>
      </c>
      <c r="AJ65" s="15">
        <v>18</v>
      </c>
      <c r="AK65" s="15">
        <v>18</v>
      </c>
      <c r="AL65" s="39"/>
      <c r="AM65" s="39"/>
      <c r="AN65" s="15">
        <v>11</v>
      </c>
      <c r="AO65" s="15">
        <v>11</v>
      </c>
      <c r="AP65" s="15">
        <v>11</v>
      </c>
      <c r="AQ65" s="15">
        <v>11</v>
      </c>
      <c r="AR65" s="15">
        <v>11</v>
      </c>
      <c r="AS65" s="15">
        <v>11</v>
      </c>
      <c r="AT65" s="15">
        <v>11</v>
      </c>
      <c r="AU65" s="15">
        <v>11</v>
      </c>
      <c r="AV65" s="15">
        <v>11</v>
      </c>
      <c r="AW65" s="15">
        <v>11</v>
      </c>
      <c r="AX65" s="15">
        <v>11</v>
      </c>
      <c r="AY65" s="15">
        <v>11</v>
      </c>
      <c r="AZ65" s="15">
        <v>11</v>
      </c>
      <c r="BA65" s="15">
        <v>0</v>
      </c>
    </row>
    <row r="66" spans="1:40" ht="12" customHeight="1">
      <c r="A66" s="13" t="s">
        <v>798</v>
      </c>
      <c r="B66" s="13" t="s">
        <v>717</v>
      </c>
      <c r="C66" s="35" t="str">
        <f t="shared" si="10"/>
        <v>pd</v>
      </c>
      <c r="D66" s="13" t="s">
        <v>70</v>
      </c>
      <c r="E66" s="15" t="s">
        <v>151</v>
      </c>
      <c r="F66" s="39"/>
      <c r="G66" s="50">
        <v>7</v>
      </c>
      <c r="H66" s="50">
        <v>7</v>
      </c>
      <c r="I66" s="50">
        <v>0</v>
      </c>
      <c r="J66" s="50">
        <v>0</v>
      </c>
      <c r="K66" s="50">
        <v>0</v>
      </c>
      <c r="L66" s="50">
        <v>10</v>
      </c>
      <c r="M66" s="13">
        <v>24</v>
      </c>
      <c r="R66" s="13">
        <v>12</v>
      </c>
      <c r="V66" s="13">
        <v>12</v>
      </c>
      <c r="X66" s="13">
        <v>6</v>
      </c>
      <c r="Y66" s="13">
        <v>12</v>
      </c>
      <c r="Z66" s="13">
        <v>6</v>
      </c>
      <c r="AH66" s="13">
        <v>12</v>
      </c>
      <c r="AL66" s="13">
        <v>32</v>
      </c>
      <c r="AM66" s="13">
        <v>32</v>
      </c>
      <c r="AN66" s="13">
        <v>8</v>
      </c>
    </row>
    <row r="67" spans="1:53" ht="12" customHeight="1">
      <c r="A67" s="45" t="str">
        <f>A66</f>
        <v>pro</v>
      </c>
      <c r="B67" s="57" t="s">
        <v>717</v>
      </c>
      <c r="C67" s="45" t="str">
        <f t="shared" si="10"/>
        <v>pdT</v>
      </c>
      <c r="D67" s="57" t="s">
        <v>70</v>
      </c>
      <c r="E67" s="47" t="str">
        <f>"TOTAL Avail: "&amp;D67</f>
        <v>TOTAL Avail: KBaltus</v>
      </c>
      <c r="F67" s="49"/>
      <c r="G67" s="51" t="str">
        <f aca="true" t="shared" si="16" ref="G67:BA67">32-SUM(G62:G66)</f>
        <v>25</v>
      </c>
      <c r="H67" s="51" t="str">
        <f t="shared" si="16"/>
        <v>25</v>
      </c>
      <c r="I67" s="51" t="str">
        <f t="shared" si="16"/>
        <v>32</v>
      </c>
      <c r="J67" s="51" t="str">
        <f t="shared" si="16"/>
        <v>24</v>
      </c>
      <c r="K67" s="51" t="str">
        <f t="shared" si="16"/>
        <v>22</v>
      </c>
      <c r="L67" s="51" t="str">
        <f t="shared" si="16"/>
        <v>14</v>
      </c>
      <c r="M67" s="51" t="str">
        <f t="shared" si="16"/>
        <v>4</v>
      </c>
      <c r="N67" s="51" t="str">
        <f t="shared" si="16"/>
        <v>21</v>
      </c>
      <c r="O67" s="51" t="str">
        <f t="shared" si="16"/>
        <v>13</v>
      </c>
      <c r="P67" s="51" t="str">
        <f t="shared" si="16"/>
        <v>13</v>
      </c>
      <c r="Q67" s="51" t="str">
        <f t="shared" si="16"/>
        <v>24</v>
      </c>
      <c r="R67" s="51" t="str">
        <f t="shared" si="16"/>
        <v>7</v>
      </c>
      <c r="S67" s="51" t="str">
        <f t="shared" si="16"/>
        <v>17</v>
      </c>
      <c r="T67" s="51" t="str">
        <f t="shared" si="16"/>
        <v>17</v>
      </c>
      <c r="U67" s="51" t="str">
        <f t="shared" si="16"/>
        <v>19</v>
      </c>
      <c r="V67" s="51" t="str">
        <f t="shared" si="16"/>
        <v>14</v>
      </c>
      <c r="W67" s="51" t="str">
        <f t="shared" si="16"/>
        <v>21</v>
      </c>
      <c r="X67" s="51" t="str">
        <f t="shared" si="16"/>
        <v>13</v>
      </c>
      <c r="Y67" s="51" t="str">
        <f t="shared" si="16"/>
        <v>14</v>
      </c>
      <c r="Z67" s="51" t="str">
        <f t="shared" si="16"/>
        <v>15</v>
      </c>
      <c r="AA67" s="51" t="str">
        <f t="shared" si="16"/>
        <v>17</v>
      </c>
      <c r="AB67" s="51" t="str">
        <f t="shared" si="16"/>
        <v>16</v>
      </c>
      <c r="AC67" s="51" t="str">
        <f t="shared" si="16"/>
        <v>15</v>
      </c>
      <c r="AD67" s="51" t="str">
        <f t="shared" si="16"/>
        <v>17</v>
      </c>
      <c r="AE67" s="51" t="str">
        <f t="shared" si="16"/>
        <v>15</v>
      </c>
      <c r="AF67" s="51" t="str">
        <f t="shared" si="16"/>
        <v>15</v>
      </c>
      <c r="AG67" s="51" t="str">
        <f t="shared" si="16"/>
        <v>1</v>
      </c>
      <c r="AH67" s="51" t="str">
        <f t="shared" si="16"/>
        <v>3</v>
      </c>
      <c r="AI67" s="51" t="str">
        <f t="shared" si="16"/>
        <v>8</v>
      </c>
      <c r="AJ67" s="51" t="str">
        <f t="shared" si="16"/>
        <v>4</v>
      </c>
      <c r="AK67" s="51" t="str">
        <f t="shared" si="16"/>
        <v>4</v>
      </c>
      <c r="AL67" s="51" t="str">
        <f t="shared" si="16"/>
        <v>0</v>
      </c>
      <c r="AM67" s="51" t="str">
        <f t="shared" si="16"/>
        <v>0</v>
      </c>
      <c r="AN67" s="51" t="str">
        <f t="shared" si="16"/>
        <v>-5</v>
      </c>
      <c r="AO67" s="51" t="str">
        <f t="shared" si="16"/>
        <v>3</v>
      </c>
      <c r="AP67" s="51" t="str">
        <f t="shared" si="16"/>
        <v>5</v>
      </c>
      <c r="AQ67" s="51" t="str">
        <f t="shared" si="16"/>
        <v>5</v>
      </c>
      <c r="AR67" s="51" t="str">
        <f t="shared" si="16"/>
        <v>5</v>
      </c>
      <c r="AS67" s="51" t="str">
        <f t="shared" si="16"/>
        <v>5</v>
      </c>
      <c r="AT67" s="51" t="str">
        <f t="shared" si="16"/>
        <v>5</v>
      </c>
      <c r="AU67" s="51" t="str">
        <f t="shared" si="16"/>
        <v>5</v>
      </c>
      <c r="AV67" s="51" t="str">
        <f t="shared" si="16"/>
        <v>13</v>
      </c>
      <c r="AW67" s="51" t="str">
        <f t="shared" si="16"/>
        <v>13</v>
      </c>
      <c r="AX67" s="51" t="str">
        <f t="shared" si="16"/>
        <v>13</v>
      </c>
      <c r="AY67" s="51" t="str">
        <f t="shared" si="16"/>
        <v>13</v>
      </c>
      <c r="AZ67" s="51" t="str">
        <f t="shared" si="16"/>
        <v>21</v>
      </c>
      <c r="BA67" s="51" t="str">
        <f t="shared" si="16"/>
        <v>32</v>
      </c>
    </row>
    <row r="68" spans="1:17" ht="12" customHeight="1">
      <c r="A68" s="13" t="s">
        <v>804</v>
      </c>
      <c r="B68" s="13" t="s">
        <v>805</v>
      </c>
      <c r="C68" s="35" t="str">
        <f t="shared" si="10"/>
        <v>oth</v>
      </c>
      <c r="D68" s="13" t="s">
        <v>627</v>
      </c>
      <c r="G68" s="15">
        <v>20</v>
      </c>
      <c r="H68" s="15">
        <v>20</v>
      </c>
      <c r="I68" s="15">
        <v>10</v>
      </c>
      <c r="J68" s="15">
        <v>10</v>
      </c>
      <c r="K68" s="15">
        <v>10</v>
      </c>
      <c r="L68" s="15">
        <v>10</v>
      </c>
      <c r="M68" s="15">
        <v>10</v>
      </c>
      <c r="N68" s="15">
        <v>10</v>
      </c>
      <c r="O68" s="15">
        <v>10</v>
      </c>
      <c r="P68" s="15">
        <v>10</v>
      </c>
      <c r="Q68" s="15">
        <v>10</v>
      </c>
    </row>
    <row r="69" spans="1:38" ht="12" customHeight="1">
      <c r="A69" s="13" t="s">
        <v>804</v>
      </c>
      <c r="B69" s="13" t="s">
        <v>805</v>
      </c>
      <c r="C69" s="35" t="str">
        <f t="shared" si="10"/>
        <v>oth</v>
      </c>
      <c r="D69" s="13" t="s">
        <v>627</v>
      </c>
      <c r="E69" s="13" t="s">
        <v>209</v>
      </c>
      <c r="F69" s="13" t="s">
        <v>241</v>
      </c>
      <c r="G69" s="15">
        <v>10</v>
      </c>
      <c r="H69" s="15">
        <v>10</v>
      </c>
      <c r="I69" s="15">
        <v>5</v>
      </c>
      <c r="J69" s="15">
        <v>5</v>
      </c>
      <c r="K69" s="15">
        <v>5</v>
      </c>
      <c r="L69" s="15">
        <v>5</v>
      </c>
      <c r="M69" s="15">
        <v>5</v>
      </c>
      <c r="N69" s="15">
        <v>5</v>
      </c>
      <c r="O69" s="15">
        <v>5</v>
      </c>
      <c r="P69" s="15">
        <v>5</v>
      </c>
      <c r="Q69" s="15">
        <v>5</v>
      </c>
      <c r="V69" s="13">
        <v>10</v>
      </c>
      <c r="W69" s="13">
        <v>10</v>
      </c>
      <c r="X69" s="13">
        <v>10</v>
      </c>
      <c r="Y69" s="13">
        <v>10</v>
      </c>
      <c r="Z69" s="13">
        <v>10</v>
      </c>
      <c r="AA69" s="13">
        <v>10</v>
      </c>
      <c r="AB69" s="13">
        <v>10</v>
      </c>
      <c r="AC69" s="13">
        <v>10</v>
      </c>
      <c r="AD69" s="13">
        <v>10</v>
      </c>
      <c r="AE69" s="13">
        <v>10</v>
      </c>
      <c r="AF69" s="13">
        <v>10</v>
      </c>
      <c r="AG69" s="13">
        <v>10</v>
      </c>
      <c r="AH69" s="13">
        <v>10</v>
      </c>
      <c r="AI69" s="13">
        <v>10</v>
      </c>
      <c r="AJ69" s="13">
        <v>10</v>
      </c>
      <c r="AK69" s="13">
        <v>10</v>
      </c>
      <c r="AL69" s="13">
        <v>10</v>
      </c>
    </row>
    <row r="70" spans="1:22" ht="12" customHeight="1">
      <c r="A70" s="13" t="s">
        <v>804</v>
      </c>
      <c r="B70" s="13" t="s">
        <v>805</v>
      </c>
      <c r="C70" s="35" t="str">
        <f t="shared" si="10"/>
        <v>oth</v>
      </c>
      <c r="D70" s="13" t="s">
        <v>627</v>
      </c>
      <c r="E70" s="15" t="s">
        <v>151</v>
      </c>
      <c r="F70" s="39"/>
      <c r="G70" s="50">
        <v>0</v>
      </c>
      <c r="H70" s="50">
        <v>0</v>
      </c>
      <c r="I70" s="50">
        <v>0</v>
      </c>
      <c r="J70" s="50">
        <v>0</v>
      </c>
      <c r="K70" s="50">
        <v>0</v>
      </c>
      <c r="L70" s="50">
        <v>0</v>
      </c>
      <c r="M70" s="50">
        <v>8</v>
      </c>
      <c r="N70" s="50">
        <v>0</v>
      </c>
      <c r="O70" s="50">
        <v>0</v>
      </c>
      <c r="P70" s="50">
        <v>0</v>
      </c>
      <c r="Q70" s="50">
        <v>0</v>
      </c>
      <c r="V70" s="13">
        <v>6</v>
      </c>
    </row>
    <row r="71" spans="1:53" ht="12" customHeight="1">
      <c r="A71" s="45" t="str">
        <f>A68</f>
        <v>per</v>
      </c>
      <c r="B71" s="57" t="s">
        <v>805</v>
      </c>
      <c r="C71" s="45" t="str">
        <f t="shared" si="10"/>
        <v>othT</v>
      </c>
      <c r="D71" s="70" t="str">
        <f>D68</f>
        <v>JComstock</v>
      </c>
      <c r="E71" s="47" t="str">
        <f>"TOTAL Avail: "&amp;D71</f>
        <v>TOTAL Avail: JComstock</v>
      </c>
      <c r="F71" s="49"/>
      <c r="G71" s="51" t="str">
        <f aca="true" t="shared" si="17" ref="G71:BA71">15-SUM(G68:G70)</f>
        <v>-15</v>
      </c>
      <c r="H71" s="51" t="str">
        <f t="shared" si="17"/>
        <v>-15</v>
      </c>
      <c r="I71" s="51" t="str">
        <f t="shared" si="17"/>
        <v>0</v>
      </c>
      <c r="J71" s="51" t="str">
        <f t="shared" si="17"/>
        <v>0</v>
      </c>
      <c r="K71" s="51" t="str">
        <f t="shared" si="17"/>
        <v>0</v>
      </c>
      <c r="L71" s="51" t="str">
        <f t="shared" si="17"/>
        <v>0</v>
      </c>
      <c r="M71" s="51" t="str">
        <f t="shared" si="17"/>
        <v>-8</v>
      </c>
      <c r="N71" s="51" t="str">
        <f t="shared" si="17"/>
        <v>0</v>
      </c>
      <c r="O71" s="51" t="str">
        <f t="shared" si="17"/>
        <v>0</v>
      </c>
      <c r="P71" s="51" t="str">
        <f t="shared" si="17"/>
        <v>0</v>
      </c>
      <c r="Q71" s="51" t="str">
        <f t="shared" si="17"/>
        <v>0</v>
      </c>
      <c r="R71" s="51" t="str">
        <f t="shared" si="17"/>
        <v>15</v>
      </c>
      <c r="S71" s="51" t="str">
        <f t="shared" si="17"/>
        <v>15</v>
      </c>
      <c r="T71" s="51" t="str">
        <f t="shared" si="17"/>
        <v>15</v>
      </c>
      <c r="U71" s="51" t="str">
        <f t="shared" si="17"/>
        <v>15</v>
      </c>
      <c r="V71" s="51" t="str">
        <f t="shared" si="17"/>
        <v>-1</v>
      </c>
      <c r="W71" s="51" t="str">
        <f t="shared" si="17"/>
        <v>5</v>
      </c>
      <c r="X71" s="51" t="str">
        <f t="shared" si="17"/>
        <v>5</v>
      </c>
      <c r="Y71" s="51" t="str">
        <f t="shared" si="17"/>
        <v>5</v>
      </c>
      <c r="Z71" s="51" t="str">
        <f t="shared" si="17"/>
        <v>5</v>
      </c>
      <c r="AA71" s="51" t="str">
        <f t="shared" si="17"/>
        <v>5</v>
      </c>
      <c r="AB71" s="51" t="str">
        <f t="shared" si="17"/>
        <v>5</v>
      </c>
      <c r="AC71" s="51" t="str">
        <f t="shared" si="17"/>
        <v>5</v>
      </c>
      <c r="AD71" s="51" t="str">
        <f t="shared" si="17"/>
        <v>5</v>
      </c>
      <c r="AE71" s="51" t="str">
        <f t="shared" si="17"/>
        <v>5</v>
      </c>
      <c r="AF71" s="51" t="str">
        <f t="shared" si="17"/>
        <v>5</v>
      </c>
      <c r="AG71" s="51" t="str">
        <f t="shared" si="17"/>
        <v>5</v>
      </c>
      <c r="AH71" s="51" t="str">
        <f t="shared" si="17"/>
        <v>5</v>
      </c>
      <c r="AI71" s="51" t="str">
        <f t="shared" si="17"/>
        <v>5</v>
      </c>
      <c r="AJ71" s="51" t="str">
        <f t="shared" si="17"/>
        <v>5</v>
      </c>
      <c r="AK71" s="51" t="str">
        <f t="shared" si="17"/>
        <v>5</v>
      </c>
      <c r="AL71" s="51" t="str">
        <f t="shared" si="17"/>
        <v>5</v>
      </c>
      <c r="AM71" s="51" t="str">
        <f t="shared" si="17"/>
        <v>15</v>
      </c>
      <c r="AN71" s="51" t="str">
        <f t="shared" si="17"/>
        <v>15</v>
      </c>
      <c r="AO71" s="51" t="str">
        <f t="shared" si="17"/>
        <v>15</v>
      </c>
      <c r="AP71" s="51" t="str">
        <f t="shared" si="17"/>
        <v>15</v>
      </c>
      <c r="AQ71" s="51" t="str">
        <f t="shared" si="17"/>
        <v>15</v>
      </c>
      <c r="AR71" s="51" t="str">
        <f t="shared" si="17"/>
        <v>15</v>
      </c>
      <c r="AS71" s="51" t="str">
        <f t="shared" si="17"/>
        <v>15</v>
      </c>
      <c r="AT71" s="51" t="str">
        <f t="shared" si="17"/>
        <v>15</v>
      </c>
      <c r="AU71" s="51" t="str">
        <f t="shared" si="17"/>
        <v>15</v>
      </c>
      <c r="AV71" s="51" t="str">
        <f t="shared" si="17"/>
        <v>15</v>
      </c>
      <c r="AW71" s="51" t="str">
        <f t="shared" si="17"/>
        <v>15</v>
      </c>
      <c r="AX71" s="51" t="str">
        <f t="shared" si="17"/>
        <v>15</v>
      </c>
      <c r="AY71" s="51" t="str">
        <f t="shared" si="17"/>
        <v>15</v>
      </c>
      <c r="AZ71" s="51" t="str">
        <f t="shared" si="17"/>
        <v>15</v>
      </c>
      <c r="BA71" s="51" t="str">
        <f t="shared" si="17"/>
        <v>15</v>
      </c>
    </row>
    <row r="72" spans="1:53" ht="12" customHeight="1">
      <c r="A72" s="13" t="s">
        <v>804</v>
      </c>
      <c r="B72" s="13" t="s">
        <v>155</v>
      </c>
      <c r="C72" s="35" t="str">
        <f t="shared" si="10"/>
        <v>pm</v>
      </c>
      <c r="D72" s="13" t="s">
        <v>68</v>
      </c>
      <c r="E72" s="13" t="s">
        <v>167</v>
      </c>
      <c r="F72" s="13" t="s">
        <v>810</v>
      </c>
      <c r="G72" s="15">
        <v>2</v>
      </c>
      <c r="H72" s="15">
        <v>2</v>
      </c>
      <c r="I72" s="15">
        <v>10</v>
      </c>
      <c r="J72" s="15">
        <v>10</v>
      </c>
      <c r="K72" s="15">
        <v>10</v>
      </c>
      <c r="L72" s="15">
        <v>10</v>
      </c>
      <c r="M72" s="15">
        <v>10</v>
      </c>
      <c r="N72" s="15">
        <v>5</v>
      </c>
      <c r="O72" s="15">
        <v>10</v>
      </c>
      <c r="P72" s="15">
        <v>10</v>
      </c>
      <c r="Q72" s="13">
        <v>20</v>
      </c>
      <c r="S72" s="13">
        <v>2</v>
      </c>
      <c r="T72" s="13">
        <v>4</v>
      </c>
      <c r="U72" s="13">
        <v>4</v>
      </c>
      <c r="V72" s="13">
        <v>5</v>
      </c>
      <c r="W72" s="13">
        <v>5</v>
      </c>
      <c r="X72" s="13">
        <v>5</v>
      </c>
      <c r="Y72" s="13">
        <v>5</v>
      </c>
      <c r="Z72" s="13">
        <v>0</v>
      </c>
      <c r="AA72" s="13">
        <v>10</v>
      </c>
      <c r="AB72" s="13">
        <v>10</v>
      </c>
      <c r="AC72" s="13">
        <v>10</v>
      </c>
      <c r="AD72" s="13">
        <v>16</v>
      </c>
      <c r="AE72" s="13">
        <v>10</v>
      </c>
      <c r="AF72" s="13">
        <v>10</v>
      </c>
      <c r="AG72" s="13">
        <v>15</v>
      </c>
      <c r="AH72" s="13">
        <v>6</v>
      </c>
      <c r="AI72" s="13">
        <v>10</v>
      </c>
      <c r="AJ72" s="13">
        <v>15</v>
      </c>
      <c r="AK72" s="13">
        <v>10</v>
      </c>
      <c r="AN72" s="13">
        <v>10</v>
      </c>
      <c r="AO72" s="13">
        <v>15</v>
      </c>
      <c r="AP72" s="13">
        <v>15</v>
      </c>
      <c r="AQ72" s="13">
        <v>15</v>
      </c>
      <c r="AR72" s="13">
        <v>15</v>
      </c>
      <c r="AS72" s="13">
        <v>15</v>
      </c>
      <c r="AT72" s="13">
        <v>15</v>
      </c>
      <c r="AU72" s="13">
        <v>15</v>
      </c>
      <c r="AV72" s="13">
        <v>15</v>
      </c>
      <c r="AW72" s="13">
        <v>15</v>
      </c>
      <c r="AX72" s="13">
        <v>15</v>
      </c>
      <c r="AY72" s="13">
        <v>15</v>
      </c>
      <c r="AZ72" s="13">
        <v>15</v>
      </c>
      <c r="BA72" s="13">
        <v>0</v>
      </c>
    </row>
    <row r="73" spans="1:40" ht="12" customHeight="1">
      <c r="A73" s="13" t="s">
        <v>804</v>
      </c>
      <c r="B73" s="13" t="s">
        <v>155</v>
      </c>
      <c r="C73" s="35" t="str">
        <f t="shared" si="10"/>
        <v>pm</v>
      </c>
      <c r="D73" s="13" t="s">
        <v>68</v>
      </c>
      <c r="E73" s="13" t="s">
        <v>273</v>
      </c>
      <c r="F73" s="39"/>
      <c r="G73" s="15">
        <v>15</v>
      </c>
      <c r="H73" s="15">
        <v>10</v>
      </c>
      <c r="I73" s="15">
        <v>10</v>
      </c>
      <c r="J73" s="15">
        <v>10</v>
      </c>
      <c r="K73" s="15">
        <v>10</v>
      </c>
      <c r="L73" s="15">
        <v>10</v>
      </c>
      <c r="M73" s="15">
        <v>10</v>
      </c>
      <c r="N73" s="13">
        <v>10</v>
      </c>
      <c r="O73" s="13">
        <v>5</v>
      </c>
      <c r="P73" s="13">
        <v>2</v>
      </c>
      <c r="Q73" s="13">
        <v>2</v>
      </c>
      <c r="T73" s="13">
        <v>4</v>
      </c>
      <c r="U73" s="13">
        <v>4</v>
      </c>
      <c r="V73" s="13">
        <v>4</v>
      </c>
      <c r="W73" s="13">
        <v>4</v>
      </c>
      <c r="X73" s="13">
        <v>4</v>
      </c>
      <c r="Y73" s="13">
        <v>4</v>
      </c>
      <c r="Z73" s="13">
        <v>0</v>
      </c>
      <c r="AA73" s="13">
        <v>0</v>
      </c>
      <c r="AB73" s="13">
        <v>0</v>
      </c>
      <c r="AC73" s="13">
        <v>0</v>
      </c>
      <c r="AD73" s="13">
        <v>0</v>
      </c>
      <c r="AE73" s="13">
        <v>0</v>
      </c>
      <c r="AF73" s="13">
        <v>0</v>
      </c>
      <c r="AG73" s="13">
        <v>0</v>
      </c>
      <c r="AH73" s="13">
        <v>0</v>
      </c>
      <c r="AI73" s="13">
        <v>4</v>
      </c>
      <c r="AK73" s="13">
        <v>5</v>
      </c>
      <c r="AN73" s="13">
        <v>5</v>
      </c>
    </row>
    <row r="74" spans="1:53" ht="12" customHeight="1">
      <c r="A74" s="13" t="s">
        <v>804</v>
      </c>
      <c r="B74" s="13" t="s">
        <v>155</v>
      </c>
      <c r="C74" s="35" t="str">
        <f t="shared" si="10"/>
        <v>pm</v>
      </c>
      <c r="D74" s="13" t="s">
        <v>68</v>
      </c>
      <c r="E74" s="13" t="s">
        <v>666</v>
      </c>
      <c r="F74" s="15" t="s">
        <v>812</v>
      </c>
      <c r="G74" s="15">
        <v>15</v>
      </c>
      <c r="H74" s="15">
        <v>10</v>
      </c>
      <c r="I74" s="15">
        <v>10</v>
      </c>
      <c r="J74" s="15">
        <v>10</v>
      </c>
      <c r="K74" s="15">
        <v>10</v>
      </c>
      <c r="L74" s="15">
        <v>10</v>
      </c>
      <c r="M74" s="15">
        <v>10</v>
      </c>
      <c r="N74" s="13">
        <v>10</v>
      </c>
      <c r="O74" s="13">
        <v>5</v>
      </c>
      <c r="P74" s="13">
        <v>2</v>
      </c>
      <c r="Q74" s="13">
        <v>2</v>
      </c>
      <c r="T74" s="13">
        <v>4</v>
      </c>
      <c r="U74" s="13">
        <v>4</v>
      </c>
      <c r="V74" s="13">
        <v>4</v>
      </c>
      <c r="W74" s="13">
        <v>4</v>
      </c>
      <c r="X74" s="13">
        <v>4</v>
      </c>
      <c r="Y74" s="13">
        <v>4</v>
      </c>
      <c r="Z74" s="13">
        <v>0</v>
      </c>
      <c r="AA74" s="13">
        <v>0</v>
      </c>
      <c r="AB74" s="13">
        <v>2</v>
      </c>
      <c r="AC74" s="13">
        <v>2</v>
      </c>
      <c r="AD74" s="13">
        <v>2</v>
      </c>
      <c r="AE74" s="13">
        <v>2</v>
      </c>
      <c r="AF74" s="13">
        <v>2</v>
      </c>
      <c r="AG74" s="13">
        <v>2</v>
      </c>
      <c r="AH74" s="13">
        <v>2</v>
      </c>
      <c r="AJ74" s="13">
        <v>2</v>
      </c>
      <c r="AK74" s="13">
        <v>0</v>
      </c>
      <c r="AN74" s="13">
        <v>0</v>
      </c>
      <c r="AO74" s="13">
        <v>0</v>
      </c>
      <c r="AP74" s="13">
        <v>0</v>
      </c>
      <c r="AQ74" s="13">
        <v>0</v>
      </c>
      <c r="AR74" s="13">
        <v>0</v>
      </c>
      <c r="AS74" s="13">
        <v>0</v>
      </c>
      <c r="AT74" s="13">
        <v>0</v>
      </c>
      <c r="AU74" s="13">
        <v>0</v>
      </c>
      <c r="AV74" s="13">
        <v>0</v>
      </c>
      <c r="AW74" s="13">
        <v>0</v>
      </c>
      <c r="AX74" s="13">
        <v>0</v>
      </c>
      <c r="AY74" s="13">
        <v>0</v>
      </c>
      <c r="AZ74" s="13">
        <v>0</v>
      </c>
      <c r="BA74" s="13">
        <v>0</v>
      </c>
    </row>
    <row r="75" spans="1:53" ht="12" customHeight="1">
      <c r="A75" s="13" t="s">
        <v>804</v>
      </c>
      <c r="B75" s="13" t="s">
        <v>155</v>
      </c>
      <c r="C75" s="35" t="str">
        <f t="shared" si="10"/>
        <v>pm</v>
      </c>
      <c r="D75" s="13" t="s">
        <v>68</v>
      </c>
      <c r="E75" s="13" t="s">
        <v>206</v>
      </c>
      <c r="F75" s="13" t="s">
        <v>813</v>
      </c>
      <c r="G75" s="15">
        <v>5</v>
      </c>
      <c r="H75" s="15">
        <v>5</v>
      </c>
      <c r="I75" s="15">
        <v>5</v>
      </c>
      <c r="J75" s="15">
        <v>5</v>
      </c>
      <c r="K75" s="15">
        <v>5</v>
      </c>
      <c r="L75" s="15">
        <v>5</v>
      </c>
      <c r="M75" s="15">
        <v>5</v>
      </c>
      <c r="N75" s="15">
        <v>5</v>
      </c>
      <c r="O75" s="13">
        <v>5</v>
      </c>
      <c r="P75" s="13">
        <v>5</v>
      </c>
      <c r="Q75" s="13">
        <v>2</v>
      </c>
      <c r="S75" s="13">
        <v>3</v>
      </c>
      <c r="T75" s="13">
        <v>3</v>
      </c>
      <c r="U75" s="13">
        <v>2</v>
      </c>
      <c r="V75" s="13">
        <v>3</v>
      </c>
      <c r="W75" s="13">
        <v>3</v>
      </c>
      <c r="X75" s="13">
        <v>3</v>
      </c>
      <c r="Y75" s="13">
        <v>3</v>
      </c>
      <c r="Z75" s="13">
        <v>2</v>
      </c>
      <c r="AA75" s="13">
        <v>3</v>
      </c>
      <c r="AB75" s="13">
        <v>3</v>
      </c>
      <c r="AC75" s="13">
        <v>3</v>
      </c>
      <c r="AD75" s="13">
        <v>3</v>
      </c>
      <c r="AE75" s="13">
        <v>3</v>
      </c>
      <c r="AF75" s="13">
        <v>3</v>
      </c>
      <c r="AG75" s="13">
        <v>3</v>
      </c>
      <c r="AH75" s="13">
        <v>3</v>
      </c>
      <c r="AI75" s="13">
        <v>3</v>
      </c>
      <c r="AJ75" s="13">
        <v>3</v>
      </c>
      <c r="AK75" s="13">
        <v>4</v>
      </c>
      <c r="AN75" s="13">
        <v>4</v>
      </c>
      <c r="AO75" s="13">
        <v>4</v>
      </c>
      <c r="AP75" s="13">
        <v>4</v>
      </c>
      <c r="AQ75" s="13">
        <v>4</v>
      </c>
      <c r="AR75" s="13">
        <v>3</v>
      </c>
      <c r="AS75" s="13">
        <v>3</v>
      </c>
      <c r="AT75" s="13">
        <v>3</v>
      </c>
      <c r="AU75" s="13">
        <v>3</v>
      </c>
      <c r="AV75" s="13">
        <v>3</v>
      </c>
      <c r="AW75" s="13">
        <v>3</v>
      </c>
      <c r="AX75" s="13">
        <v>3</v>
      </c>
      <c r="AY75" s="13">
        <v>3</v>
      </c>
      <c r="AZ75" s="13">
        <v>3</v>
      </c>
      <c r="BA75" s="13">
        <v>0</v>
      </c>
    </row>
    <row r="76" spans="1:53" ht="12" customHeight="1">
      <c r="A76" s="13" t="s">
        <v>804</v>
      </c>
      <c r="B76" s="13" t="s">
        <v>155</v>
      </c>
      <c r="C76" s="35" t="str">
        <f t="shared" si="10"/>
        <v>pm</v>
      </c>
      <c r="D76" s="13" t="s">
        <v>68</v>
      </c>
      <c r="E76" s="13" t="s">
        <v>546</v>
      </c>
      <c r="F76" s="13" t="s">
        <v>210</v>
      </c>
      <c r="G76" s="15">
        <v>2</v>
      </c>
      <c r="H76" s="15">
        <v>2</v>
      </c>
      <c r="I76" s="15">
        <v>2</v>
      </c>
      <c r="J76" s="15">
        <v>2</v>
      </c>
      <c r="K76" s="15">
        <v>2</v>
      </c>
      <c r="L76" s="15">
        <v>2</v>
      </c>
      <c r="M76" s="15">
        <v>2</v>
      </c>
      <c r="N76" s="15">
        <v>5</v>
      </c>
      <c r="O76" s="15">
        <v>5</v>
      </c>
      <c r="P76" s="15">
        <v>5</v>
      </c>
      <c r="Q76" s="15">
        <v>2</v>
      </c>
      <c r="S76" s="15">
        <v>2</v>
      </c>
      <c r="T76" s="15">
        <v>5</v>
      </c>
      <c r="U76" s="15">
        <v>10</v>
      </c>
      <c r="V76" s="15">
        <v>5</v>
      </c>
      <c r="W76" s="15">
        <v>5</v>
      </c>
      <c r="X76" s="15">
        <v>5</v>
      </c>
      <c r="Y76" s="15">
        <v>5</v>
      </c>
      <c r="Z76" s="15">
        <v>3</v>
      </c>
      <c r="AA76" s="15">
        <v>5</v>
      </c>
      <c r="AB76" s="15">
        <v>5</v>
      </c>
      <c r="AC76" s="15">
        <v>2</v>
      </c>
      <c r="AD76" s="15">
        <v>5</v>
      </c>
      <c r="AE76" s="15">
        <v>5</v>
      </c>
      <c r="AF76" s="15">
        <v>3</v>
      </c>
      <c r="AG76" s="15">
        <v>1</v>
      </c>
      <c r="AH76" s="15">
        <v>1</v>
      </c>
      <c r="AI76" s="15">
        <v>1</v>
      </c>
      <c r="AJ76" s="15">
        <v>1</v>
      </c>
      <c r="AK76" s="15">
        <v>1</v>
      </c>
      <c r="AL76" s="39"/>
      <c r="AM76" s="39"/>
      <c r="AN76" s="15">
        <v>1</v>
      </c>
      <c r="AO76" s="15">
        <v>1</v>
      </c>
      <c r="AP76" s="15">
        <v>3</v>
      </c>
      <c r="AQ76" s="15">
        <v>3</v>
      </c>
      <c r="AR76" s="15">
        <v>3</v>
      </c>
      <c r="AS76" s="15">
        <v>3</v>
      </c>
      <c r="AT76" s="15">
        <v>3</v>
      </c>
      <c r="AU76" s="15">
        <v>3</v>
      </c>
      <c r="AV76" s="15">
        <v>3</v>
      </c>
      <c r="AW76" s="15">
        <v>3</v>
      </c>
      <c r="AX76" s="15">
        <v>3</v>
      </c>
      <c r="AY76" s="15">
        <v>3</v>
      </c>
      <c r="AZ76" s="15">
        <v>3</v>
      </c>
      <c r="BA76" s="15">
        <v>0</v>
      </c>
    </row>
    <row r="77" spans="1:53" ht="12" customHeight="1">
      <c r="A77" s="13" t="s">
        <v>804</v>
      </c>
      <c r="B77" s="13" t="s">
        <v>155</v>
      </c>
      <c r="C77" s="35" t="str">
        <f t="shared" si="10"/>
        <v>pm</v>
      </c>
      <c r="D77" s="13" t="s">
        <v>68</v>
      </c>
      <c r="E77" s="13" t="s">
        <v>209</v>
      </c>
      <c r="F77" s="13" t="s">
        <v>814</v>
      </c>
      <c r="G77" s="15">
        <v>2</v>
      </c>
      <c r="H77" s="15">
        <v>2</v>
      </c>
      <c r="I77" s="15">
        <v>2</v>
      </c>
      <c r="J77" s="15">
        <v>2</v>
      </c>
      <c r="K77" s="15">
        <v>2</v>
      </c>
      <c r="L77" s="15">
        <v>2</v>
      </c>
      <c r="M77" s="15">
        <v>2</v>
      </c>
      <c r="N77" s="15">
        <v>5</v>
      </c>
      <c r="O77" s="15">
        <v>5</v>
      </c>
      <c r="P77" s="15">
        <v>5</v>
      </c>
      <c r="Q77" s="15">
        <v>2</v>
      </c>
      <c r="S77" s="15">
        <v>2</v>
      </c>
      <c r="T77" s="15">
        <v>5</v>
      </c>
      <c r="U77" s="15">
        <v>10</v>
      </c>
      <c r="V77" s="15">
        <v>4</v>
      </c>
      <c r="W77" s="15">
        <v>4</v>
      </c>
      <c r="X77" s="15">
        <v>4</v>
      </c>
      <c r="Y77" s="15">
        <v>4</v>
      </c>
      <c r="Z77" s="15">
        <v>0</v>
      </c>
      <c r="AA77" s="15">
        <v>4</v>
      </c>
      <c r="AB77" s="15">
        <v>4</v>
      </c>
      <c r="AC77" s="15">
        <v>4</v>
      </c>
      <c r="AD77" s="15">
        <v>4</v>
      </c>
      <c r="AE77" s="15">
        <v>4</v>
      </c>
      <c r="AF77" s="15">
        <v>4</v>
      </c>
      <c r="AG77" s="15">
        <v>4</v>
      </c>
      <c r="AH77" s="15">
        <v>4</v>
      </c>
      <c r="AI77" s="15">
        <v>4</v>
      </c>
      <c r="AJ77" s="15">
        <v>2</v>
      </c>
      <c r="AK77" s="15">
        <v>2</v>
      </c>
      <c r="AL77" s="39"/>
      <c r="AM77" s="39"/>
      <c r="AN77" s="15">
        <v>2</v>
      </c>
      <c r="AO77" s="15">
        <v>2</v>
      </c>
      <c r="AP77" s="15">
        <v>2</v>
      </c>
      <c r="AQ77" s="15">
        <v>2</v>
      </c>
      <c r="AR77" s="15">
        <v>2</v>
      </c>
      <c r="AS77" s="15">
        <v>2</v>
      </c>
      <c r="AT77" s="15">
        <v>2</v>
      </c>
      <c r="AU77" s="15">
        <v>2</v>
      </c>
      <c r="AV77" s="15">
        <v>2</v>
      </c>
      <c r="AW77" s="15">
        <v>2</v>
      </c>
      <c r="AX77" s="15">
        <v>2</v>
      </c>
      <c r="AY77" s="15">
        <v>2</v>
      </c>
      <c r="AZ77" s="15">
        <v>2</v>
      </c>
      <c r="BA77" s="15">
        <v>0</v>
      </c>
    </row>
    <row r="78" spans="1:53" ht="12" customHeight="1">
      <c r="A78" s="13" t="s">
        <v>804</v>
      </c>
      <c r="B78" s="13" t="s">
        <v>155</v>
      </c>
      <c r="C78" s="35" t="str">
        <f t="shared" si="10"/>
        <v>pm</v>
      </c>
      <c r="D78" s="13" t="s">
        <v>68</v>
      </c>
      <c r="E78" s="13" t="s">
        <v>14</v>
      </c>
      <c r="G78" s="15">
        <v>3</v>
      </c>
      <c r="H78" s="15">
        <v>3</v>
      </c>
      <c r="I78" s="15">
        <v>0</v>
      </c>
      <c r="J78" s="15">
        <v>0</v>
      </c>
      <c r="K78" s="15">
        <v>1</v>
      </c>
      <c r="L78" s="15">
        <v>0</v>
      </c>
      <c r="M78" s="15">
        <v>0</v>
      </c>
      <c r="N78" s="15">
        <v>5</v>
      </c>
      <c r="O78" s="15">
        <v>5</v>
      </c>
      <c r="P78" s="15">
        <v>0</v>
      </c>
      <c r="Q78" s="15">
        <v>0</v>
      </c>
      <c r="S78" s="13">
        <v>0</v>
      </c>
      <c r="T78" s="13">
        <v>4</v>
      </c>
      <c r="U78" s="13">
        <v>4</v>
      </c>
      <c r="V78" s="13">
        <v>4</v>
      </c>
      <c r="W78" s="13">
        <v>10</v>
      </c>
      <c r="X78" s="13">
        <v>4</v>
      </c>
      <c r="Y78" s="13">
        <v>4</v>
      </c>
      <c r="Z78" s="13">
        <v>2</v>
      </c>
      <c r="AA78" s="13">
        <v>4</v>
      </c>
      <c r="AB78" s="13">
        <v>4</v>
      </c>
      <c r="AC78" s="13">
        <v>5</v>
      </c>
      <c r="AD78" s="13">
        <v>5</v>
      </c>
      <c r="AE78" s="13">
        <v>5</v>
      </c>
      <c r="AF78" s="13">
        <v>5</v>
      </c>
      <c r="AG78" s="13">
        <v>2</v>
      </c>
      <c r="AH78" s="13">
        <v>2</v>
      </c>
      <c r="AJ78" s="13">
        <v>5</v>
      </c>
      <c r="AK78" s="13">
        <v>5</v>
      </c>
      <c r="AN78" s="13">
        <v>5</v>
      </c>
      <c r="AO78" s="13">
        <v>5</v>
      </c>
      <c r="AP78" s="13">
        <v>5</v>
      </c>
      <c r="AQ78" s="13">
        <v>5</v>
      </c>
      <c r="AR78" s="13">
        <v>5</v>
      </c>
      <c r="AS78" s="13">
        <v>5</v>
      </c>
      <c r="AT78" s="13">
        <v>5</v>
      </c>
      <c r="AU78" s="13">
        <v>5</v>
      </c>
      <c r="AV78" s="13">
        <v>2</v>
      </c>
      <c r="AW78" s="13">
        <v>2</v>
      </c>
      <c r="AX78" s="13">
        <v>2</v>
      </c>
      <c r="AY78" s="13">
        <v>2</v>
      </c>
      <c r="AZ78" s="13">
        <v>2</v>
      </c>
      <c r="BA78" s="13">
        <v>0</v>
      </c>
    </row>
    <row r="79" spans="1:40" ht="12" customHeight="1">
      <c r="A79" s="13" t="s">
        <v>804</v>
      </c>
      <c r="B79" s="13" t="s">
        <v>155</v>
      </c>
      <c r="C79" s="35" t="str">
        <f t="shared" si="10"/>
        <v>pm</v>
      </c>
      <c r="D79" s="13" t="s">
        <v>68</v>
      </c>
      <c r="E79" s="13" t="s">
        <v>216</v>
      </c>
      <c r="F79" s="13" t="s">
        <v>217</v>
      </c>
      <c r="G79" s="15">
        <v>3</v>
      </c>
      <c r="H79" s="15">
        <v>3</v>
      </c>
      <c r="I79" s="15">
        <v>0</v>
      </c>
      <c r="J79" s="15">
        <v>0</v>
      </c>
      <c r="K79" s="15">
        <v>1</v>
      </c>
      <c r="L79" s="15">
        <v>0</v>
      </c>
      <c r="M79" s="15">
        <v>0</v>
      </c>
      <c r="N79" s="15">
        <v>5</v>
      </c>
      <c r="O79" s="15">
        <v>5</v>
      </c>
      <c r="P79" s="15">
        <v>0</v>
      </c>
      <c r="Q79" s="15">
        <v>0</v>
      </c>
      <c r="S79" s="13">
        <v>0</v>
      </c>
      <c r="T79" s="13">
        <v>4</v>
      </c>
      <c r="U79" s="13">
        <v>4</v>
      </c>
      <c r="V79" s="13">
        <v>4</v>
      </c>
      <c r="W79" s="13">
        <v>10</v>
      </c>
      <c r="X79" s="13">
        <v>4</v>
      </c>
      <c r="Y79" s="13">
        <v>4</v>
      </c>
      <c r="Z79" s="13">
        <v>2</v>
      </c>
      <c r="AA79" s="13">
        <v>4</v>
      </c>
      <c r="AB79" s="13">
        <v>4</v>
      </c>
      <c r="AC79" s="13">
        <v>5</v>
      </c>
      <c r="AD79" s="13">
        <v>5</v>
      </c>
      <c r="AE79" s="13">
        <v>1</v>
      </c>
      <c r="AF79" s="13">
        <v>1</v>
      </c>
      <c r="AG79" s="13">
        <v>1</v>
      </c>
      <c r="AH79" s="13">
        <v>1</v>
      </c>
      <c r="AJ79" s="13">
        <v>8</v>
      </c>
      <c r="AK79" s="13">
        <v>10</v>
      </c>
      <c r="AN79" s="13">
        <v>10</v>
      </c>
    </row>
    <row r="80" spans="1:34" ht="12" customHeight="1">
      <c r="A80" s="13" t="s">
        <v>804</v>
      </c>
      <c r="B80" s="13" t="s">
        <v>155</v>
      </c>
      <c r="C80" s="35" t="str">
        <f t="shared" si="10"/>
        <v>pm</v>
      </c>
      <c r="D80" s="13" t="s">
        <v>68</v>
      </c>
      <c r="G80" s="15">
        <v>3</v>
      </c>
      <c r="H80" s="15">
        <v>3</v>
      </c>
      <c r="I80" s="15">
        <v>3</v>
      </c>
      <c r="J80" s="15">
        <v>3</v>
      </c>
      <c r="K80" s="15">
        <v>6</v>
      </c>
      <c r="L80" s="15">
        <v>3</v>
      </c>
      <c r="M80" s="15">
        <v>3</v>
      </c>
      <c r="N80" s="15">
        <v>3</v>
      </c>
      <c r="O80" s="15">
        <v>3</v>
      </c>
      <c r="P80" s="15">
        <v>3</v>
      </c>
      <c r="Q80" s="15">
        <v>1</v>
      </c>
      <c r="S80" s="13">
        <v>1</v>
      </c>
      <c r="T80" s="13">
        <v>1</v>
      </c>
      <c r="U80" s="13">
        <v>1</v>
      </c>
      <c r="V80" s="13">
        <v>2</v>
      </c>
      <c r="W80" s="13">
        <v>2</v>
      </c>
      <c r="X80" s="13">
        <v>2</v>
      </c>
      <c r="Y80" s="13">
        <v>2</v>
      </c>
      <c r="AA80" s="13">
        <v>4</v>
      </c>
      <c r="AB80" s="13">
        <v>1</v>
      </c>
      <c r="AC80" s="13">
        <v>2</v>
      </c>
      <c r="AD80" s="13">
        <v>2</v>
      </c>
      <c r="AF80" s="13">
        <v>2</v>
      </c>
      <c r="AG80" s="13">
        <v>2</v>
      </c>
      <c r="AH80" s="13">
        <v>2</v>
      </c>
    </row>
    <row r="81" spans="1:53" ht="12" customHeight="1">
      <c r="A81" s="13" t="s">
        <v>804</v>
      </c>
      <c r="B81" s="13" t="s">
        <v>155</v>
      </c>
      <c r="C81" s="35" t="str">
        <f t="shared" si="10"/>
        <v>pm</v>
      </c>
      <c r="D81" s="13" t="s">
        <v>68</v>
      </c>
      <c r="E81" s="13" t="s">
        <v>285</v>
      </c>
      <c r="G81" s="15">
        <v>1</v>
      </c>
      <c r="H81" s="15">
        <v>1</v>
      </c>
      <c r="I81" s="15">
        <v>1</v>
      </c>
      <c r="J81" s="15">
        <v>1</v>
      </c>
      <c r="K81" s="15">
        <v>1</v>
      </c>
      <c r="L81" s="15">
        <v>0</v>
      </c>
      <c r="M81" s="15">
        <v>2</v>
      </c>
      <c r="N81" s="15">
        <v>2</v>
      </c>
      <c r="O81" s="15">
        <v>5</v>
      </c>
      <c r="P81" s="15">
        <v>2</v>
      </c>
      <c r="Q81" s="15">
        <v>2</v>
      </c>
      <c r="S81" s="13">
        <v>5</v>
      </c>
      <c r="T81" s="13">
        <v>5</v>
      </c>
      <c r="U81" s="13">
        <v>7</v>
      </c>
      <c r="V81" s="13">
        <v>5</v>
      </c>
      <c r="W81" s="13">
        <v>5</v>
      </c>
      <c r="X81" s="13">
        <v>5</v>
      </c>
      <c r="Y81" s="13">
        <v>5</v>
      </c>
      <c r="Z81" s="13">
        <v>2</v>
      </c>
      <c r="AA81" s="13">
        <v>5</v>
      </c>
      <c r="AB81" s="13">
        <v>5</v>
      </c>
      <c r="AC81" s="13">
        <v>5</v>
      </c>
      <c r="AD81" s="13">
        <v>5</v>
      </c>
      <c r="AE81" s="13">
        <v>5</v>
      </c>
      <c r="AF81" s="13">
        <v>5</v>
      </c>
      <c r="AG81" s="13">
        <v>5</v>
      </c>
      <c r="AH81" s="13">
        <v>1</v>
      </c>
      <c r="AI81" s="13">
        <v>5</v>
      </c>
      <c r="AJ81" s="13">
        <v>1</v>
      </c>
      <c r="AK81" s="13">
        <v>1</v>
      </c>
      <c r="AN81" s="13">
        <v>1</v>
      </c>
      <c r="AO81" s="13">
        <v>1</v>
      </c>
      <c r="AP81" s="13">
        <v>1</v>
      </c>
      <c r="AQ81" s="13">
        <v>1</v>
      </c>
      <c r="AR81" s="13">
        <v>1</v>
      </c>
      <c r="AS81" s="13">
        <v>1</v>
      </c>
      <c r="AT81" s="13">
        <v>1</v>
      </c>
      <c r="AU81" s="13">
        <v>1</v>
      </c>
      <c r="AV81" s="13">
        <v>1</v>
      </c>
      <c r="AW81" s="13">
        <v>1</v>
      </c>
      <c r="AX81" s="13">
        <v>1</v>
      </c>
      <c r="AY81" s="13">
        <v>1</v>
      </c>
      <c r="AZ81" s="13">
        <v>1</v>
      </c>
      <c r="BA81" s="13">
        <v>0</v>
      </c>
    </row>
    <row r="82" spans="1:39" ht="12" customHeight="1">
      <c r="A82" s="13" t="s">
        <v>804</v>
      </c>
      <c r="B82" s="13" t="s">
        <v>155</v>
      </c>
      <c r="C82" s="35" t="str">
        <f t="shared" si="10"/>
        <v>pm</v>
      </c>
      <c r="D82" s="13" t="s">
        <v>68</v>
      </c>
      <c r="E82" s="15" t="s">
        <v>151</v>
      </c>
      <c r="F82" s="39"/>
      <c r="G82" s="50">
        <v>7</v>
      </c>
      <c r="H82" s="50">
        <v>7</v>
      </c>
      <c r="I82" s="50">
        <v>0</v>
      </c>
      <c r="J82" s="50">
        <v>0</v>
      </c>
      <c r="K82" s="50">
        <v>0</v>
      </c>
      <c r="L82" s="50">
        <v>0</v>
      </c>
      <c r="M82" s="50">
        <v>8</v>
      </c>
      <c r="N82" s="50">
        <v>0</v>
      </c>
      <c r="O82" s="50">
        <v>0</v>
      </c>
      <c r="P82" s="50">
        <v>0</v>
      </c>
      <c r="Q82" s="50">
        <v>0</v>
      </c>
      <c r="R82" s="13">
        <v>32</v>
      </c>
      <c r="S82" s="13">
        <v>7</v>
      </c>
      <c r="T82" s="13">
        <v>7</v>
      </c>
      <c r="V82" s="13">
        <v>6</v>
      </c>
      <c r="Z82" s="13">
        <v>24</v>
      </c>
      <c r="AH82" s="13">
        <v>12</v>
      </c>
      <c r="AL82" s="13">
        <v>32</v>
      </c>
      <c r="AM82" s="13">
        <v>32</v>
      </c>
    </row>
    <row r="83" spans="1:53" ht="12" customHeight="1">
      <c r="A83" s="45" t="str">
        <f>A81</f>
        <v>per</v>
      </c>
      <c r="B83" s="57" t="s">
        <v>805</v>
      </c>
      <c r="C83" s="45" t="str">
        <f t="shared" si="10"/>
        <v>othT</v>
      </c>
      <c r="D83" s="70" t="str">
        <f>D81</f>
        <v>JZapin</v>
      </c>
      <c r="E83" s="47" t="str">
        <f>"TOTAL Avail: "&amp;D83</f>
        <v>TOTAL Avail: JZapin</v>
      </c>
      <c r="F83" s="49"/>
      <c r="G83" s="51" t="str">
        <f aca="true" t="shared" si="18" ref="G83:BA83">32-SUM(G72:G82)</f>
        <v>-26</v>
      </c>
      <c r="H83" s="51" t="str">
        <f t="shared" si="18"/>
        <v>-16</v>
      </c>
      <c r="I83" s="51" t="str">
        <f t="shared" si="18"/>
        <v>-11</v>
      </c>
      <c r="J83" s="51" t="str">
        <f t="shared" si="18"/>
        <v>-11</v>
      </c>
      <c r="K83" s="51" t="str">
        <f t="shared" si="18"/>
        <v>-16</v>
      </c>
      <c r="L83" s="51" t="str">
        <f t="shared" si="18"/>
        <v>-10</v>
      </c>
      <c r="M83" s="51" t="str">
        <f t="shared" si="18"/>
        <v>-20</v>
      </c>
      <c r="N83" s="51" t="str">
        <f t="shared" si="18"/>
        <v>-23</v>
      </c>
      <c r="O83" s="51" t="str">
        <f t="shared" si="18"/>
        <v>-21</v>
      </c>
      <c r="P83" s="51" t="str">
        <f t="shared" si="18"/>
        <v>-2</v>
      </c>
      <c r="Q83" s="51" t="str">
        <f t="shared" si="18"/>
        <v>-1</v>
      </c>
      <c r="R83" s="51" t="str">
        <f t="shared" si="18"/>
        <v>0</v>
      </c>
      <c r="S83" s="51" t="str">
        <f t="shared" si="18"/>
        <v>10</v>
      </c>
      <c r="T83" s="51" t="str">
        <f t="shared" si="18"/>
        <v>-14</v>
      </c>
      <c r="U83" s="51" t="str">
        <f t="shared" si="18"/>
        <v>-18</v>
      </c>
      <c r="V83" s="51" t="str">
        <f t="shared" si="18"/>
        <v>-14</v>
      </c>
      <c r="W83" s="51" t="str">
        <f t="shared" si="18"/>
        <v>-20</v>
      </c>
      <c r="X83" s="51" t="str">
        <f t="shared" si="18"/>
        <v>-8</v>
      </c>
      <c r="Y83" s="51" t="str">
        <f t="shared" si="18"/>
        <v>-8</v>
      </c>
      <c r="Z83" s="51" t="str">
        <f t="shared" si="18"/>
        <v>-3</v>
      </c>
      <c r="AA83" s="51" t="str">
        <f t="shared" si="18"/>
        <v>-7</v>
      </c>
      <c r="AB83" s="51" t="str">
        <f t="shared" si="18"/>
        <v>-6</v>
      </c>
      <c r="AC83" s="51" t="str">
        <f t="shared" si="18"/>
        <v>-6</v>
      </c>
      <c r="AD83" s="51" t="str">
        <f t="shared" si="18"/>
        <v>-15</v>
      </c>
      <c r="AE83" s="51" t="str">
        <f t="shared" si="18"/>
        <v>-3</v>
      </c>
      <c r="AF83" s="51" t="str">
        <f t="shared" si="18"/>
        <v>-3</v>
      </c>
      <c r="AG83" s="51" t="str">
        <f t="shared" si="18"/>
        <v>-3</v>
      </c>
      <c r="AH83" s="51" t="str">
        <f t="shared" si="18"/>
        <v>-2</v>
      </c>
      <c r="AI83" s="51" t="str">
        <f t="shared" si="18"/>
        <v>5</v>
      </c>
      <c r="AJ83" s="51" t="str">
        <f t="shared" si="18"/>
        <v>-5</v>
      </c>
      <c r="AK83" s="51" t="str">
        <f t="shared" si="18"/>
        <v>-6</v>
      </c>
      <c r="AL83" s="51" t="str">
        <f t="shared" si="18"/>
        <v>0</v>
      </c>
      <c r="AM83" s="51" t="str">
        <f t="shared" si="18"/>
        <v>0</v>
      </c>
      <c r="AN83" s="51" t="str">
        <f t="shared" si="18"/>
        <v>-6</v>
      </c>
      <c r="AO83" s="51" t="str">
        <f t="shared" si="18"/>
        <v>4</v>
      </c>
      <c r="AP83" s="51" t="str">
        <f t="shared" si="18"/>
        <v>2</v>
      </c>
      <c r="AQ83" s="51" t="str">
        <f t="shared" si="18"/>
        <v>2</v>
      </c>
      <c r="AR83" s="51" t="str">
        <f t="shared" si="18"/>
        <v>3</v>
      </c>
      <c r="AS83" s="51" t="str">
        <f t="shared" si="18"/>
        <v>3</v>
      </c>
      <c r="AT83" s="51" t="str">
        <f t="shared" si="18"/>
        <v>3</v>
      </c>
      <c r="AU83" s="51" t="str">
        <f t="shared" si="18"/>
        <v>3</v>
      </c>
      <c r="AV83" s="51" t="str">
        <f t="shared" si="18"/>
        <v>6</v>
      </c>
      <c r="AW83" s="51" t="str">
        <f t="shared" si="18"/>
        <v>6</v>
      </c>
      <c r="AX83" s="51" t="str">
        <f t="shared" si="18"/>
        <v>6</v>
      </c>
      <c r="AY83" s="51" t="str">
        <f t="shared" si="18"/>
        <v>6</v>
      </c>
      <c r="AZ83" s="51" t="str">
        <f t="shared" si="18"/>
        <v>6</v>
      </c>
      <c r="BA83" s="51" t="str">
        <f t="shared" si="18"/>
        <v>32</v>
      </c>
    </row>
    <row r="84" spans="1:49" ht="12" customHeight="1">
      <c r="A84" s="13" t="s">
        <v>798</v>
      </c>
      <c r="B84" s="13" t="s">
        <v>717</v>
      </c>
      <c r="C84" s="35" t="str">
        <f t="shared" si="10"/>
        <v>pd</v>
      </c>
      <c r="D84" s="13" t="s">
        <v>72</v>
      </c>
      <c r="E84" s="13" t="s">
        <v>760</v>
      </c>
      <c r="G84" s="15">
        <v>3</v>
      </c>
      <c r="H84" s="15">
        <v>3</v>
      </c>
      <c r="I84" s="15">
        <v>3</v>
      </c>
      <c r="J84" s="15">
        <v>3</v>
      </c>
      <c r="K84" s="15">
        <v>6</v>
      </c>
      <c r="L84" s="15">
        <v>3</v>
      </c>
      <c r="M84" s="15">
        <v>3</v>
      </c>
      <c r="N84" s="15">
        <v>3</v>
      </c>
      <c r="O84" s="15">
        <v>3</v>
      </c>
      <c r="P84" s="15">
        <v>3</v>
      </c>
      <c r="Q84" s="15">
        <v>1</v>
      </c>
      <c r="S84" s="13">
        <v>1</v>
      </c>
      <c r="T84" s="13">
        <v>1</v>
      </c>
      <c r="U84" s="13">
        <v>1</v>
      </c>
      <c r="V84" s="13">
        <v>2</v>
      </c>
      <c r="W84" s="13">
        <v>2</v>
      </c>
      <c r="X84" s="13">
        <v>2</v>
      </c>
      <c r="Y84" s="13">
        <v>2</v>
      </c>
      <c r="AA84" s="13">
        <v>4</v>
      </c>
      <c r="AB84" s="13">
        <v>1</v>
      </c>
      <c r="AC84" s="13">
        <v>2</v>
      </c>
      <c r="AD84" s="13">
        <v>2</v>
      </c>
      <c r="AE84" s="13">
        <v>8</v>
      </c>
      <c r="AF84" s="13">
        <v>8</v>
      </c>
      <c r="AG84" s="13">
        <v>8</v>
      </c>
      <c r="AH84" s="13">
        <v>8</v>
      </c>
      <c r="AI84" s="13">
        <v>8</v>
      </c>
      <c r="AJ84" s="13">
        <v>8</v>
      </c>
      <c r="AK84" s="13">
        <v>8</v>
      </c>
      <c r="AN84" s="13">
        <v>14</v>
      </c>
      <c r="AO84" s="13">
        <v>14</v>
      </c>
      <c r="AP84" s="13">
        <v>14</v>
      </c>
      <c r="AQ84" s="13">
        <v>14</v>
      </c>
      <c r="AR84" s="13">
        <v>10</v>
      </c>
      <c r="AS84" s="13">
        <v>10</v>
      </c>
      <c r="AT84" s="13">
        <v>10</v>
      </c>
      <c r="AU84" s="13">
        <v>10</v>
      </c>
      <c r="AV84" s="13">
        <v>8</v>
      </c>
      <c r="AW84" s="13">
        <v>8</v>
      </c>
    </row>
    <row r="85" spans="1:47" ht="12" customHeight="1">
      <c r="A85" s="13" t="s">
        <v>798</v>
      </c>
      <c r="B85" s="13" t="s">
        <v>717</v>
      </c>
      <c r="C85" s="35" t="str">
        <f t="shared" si="10"/>
        <v>pd</v>
      </c>
      <c r="D85" s="13" t="s">
        <v>72</v>
      </c>
      <c r="E85" s="13" t="s">
        <v>815</v>
      </c>
      <c r="G85" s="39"/>
      <c r="H85" s="39"/>
      <c r="I85" s="39"/>
      <c r="J85" s="39"/>
      <c r="K85" s="39"/>
      <c r="L85" s="39"/>
      <c r="M85" s="39"/>
      <c r="N85" s="39"/>
      <c r="O85" s="39"/>
      <c r="P85" s="39"/>
      <c r="Q85" s="39"/>
      <c r="AK85" s="13">
        <v>5</v>
      </c>
      <c r="AN85" s="13">
        <v>11</v>
      </c>
      <c r="AO85" s="13">
        <v>11</v>
      </c>
      <c r="AP85" s="13">
        <v>10</v>
      </c>
      <c r="AQ85" s="13">
        <v>10</v>
      </c>
      <c r="AR85" s="13">
        <v>2</v>
      </c>
      <c r="AS85" s="13">
        <v>2</v>
      </c>
      <c r="AT85" s="13">
        <v>2</v>
      </c>
      <c r="AU85" s="13">
        <v>2</v>
      </c>
    </row>
    <row r="86" spans="1:47" ht="12" customHeight="1">
      <c r="A86" s="13" t="s">
        <v>798</v>
      </c>
      <c r="B86" s="13" t="s">
        <v>717</v>
      </c>
      <c r="D86" s="13" t="s">
        <v>72</v>
      </c>
      <c r="E86" s="13" t="s">
        <v>319</v>
      </c>
      <c r="G86" s="39"/>
      <c r="H86" s="39"/>
      <c r="I86" s="39"/>
      <c r="J86" s="39"/>
      <c r="K86" s="39"/>
      <c r="L86" s="39"/>
      <c r="M86" s="39"/>
      <c r="N86" s="39"/>
      <c r="O86" s="39"/>
      <c r="P86" s="39"/>
      <c r="Q86" s="39"/>
      <c r="AK86" s="13">
        <v>5</v>
      </c>
      <c r="AN86" s="13">
        <v>5</v>
      </c>
      <c r="AO86" s="13">
        <v>5</v>
      </c>
      <c r="AP86" s="13">
        <v>6</v>
      </c>
      <c r="AQ86" s="13">
        <v>6</v>
      </c>
      <c r="AR86" s="13">
        <v>6</v>
      </c>
      <c r="AS86" s="13">
        <v>6</v>
      </c>
      <c r="AT86" s="13">
        <v>6</v>
      </c>
      <c r="AU86" s="13">
        <v>6</v>
      </c>
    </row>
    <row r="87" spans="1:34" ht="12" customHeight="1">
      <c r="A87" s="13" t="s">
        <v>798</v>
      </c>
      <c r="B87" s="13" t="s">
        <v>717</v>
      </c>
      <c r="C87" s="35" t="str">
        <f aca="true" t="shared" si="19" ref="C87:C89">B87&amp;IF(LEFT(E87,5)="TOTAL","T","")</f>
        <v>pd</v>
      </c>
      <c r="D87" s="13" t="s">
        <v>72</v>
      </c>
      <c r="E87" s="13" t="s">
        <v>816</v>
      </c>
      <c r="F87" s="13" t="s">
        <v>817</v>
      </c>
      <c r="G87" s="15">
        <v>1</v>
      </c>
      <c r="H87" s="15">
        <v>1</v>
      </c>
      <c r="I87" s="15">
        <v>1</v>
      </c>
      <c r="J87" s="15">
        <v>1</v>
      </c>
      <c r="K87" s="15">
        <v>1</v>
      </c>
      <c r="L87" s="15">
        <v>0</v>
      </c>
      <c r="M87" s="15">
        <v>2</v>
      </c>
      <c r="N87" s="15">
        <v>2</v>
      </c>
      <c r="O87" s="15">
        <v>5</v>
      </c>
      <c r="P87" s="15">
        <v>2</v>
      </c>
      <c r="Q87" s="15">
        <v>2</v>
      </c>
      <c r="S87" s="13">
        <v>5</v>
      </c>
      <c r="T87" s="13">
        <v>5</v>
      </c>
      <c r="U87" s="13">
        <v>7</v>
      </c>
      <c r="V87" s="13">
        <v>5</v>
      </c>
      <c r="W87" s="13">
        <v>5</v>
      </c>
      <c r="X87" s="13">
        <v>5</v>
      </c>
      <c r="Y87" s="13">
        <v>5</v>
      </c>
      <c r="Z87" s="13">
        <v>2</v>
      </c>
      <c r="AA87" s="13">
        <v>5</v>
      </c>
      <c r="AB87" s="13">
        <v>5</v>
      </c>
      <c r="AC87" s="13">
        <v>5</v>
      </c>
      <c r="AD87" s="13">
        <v>5</v>
      </c>
      <c r="AE87" s="13">
        <v>8</v>
      </c>
      <c r="AF87" s="13">
        <v>8</v>
      </c>
      <c r="AG87" s="13">
        <v>5</v>
      </c>
      <c r="AH87" s="13">
        <v>2</v>
      </c>
    </row>
    <row r="88" spans="1:39" ht="12" customHeight="1">
      <c r="A88" s="13" t="s">
        <v>798</v>
      </c>
      <c r="B88" s="13" t="s">
        <v>717</v>
      </c>
      <c r="C88" s="35" t="str">
        <f t="shared" si="19"/>
        <v>pd</v>
      </c>
      <c r="D88" s="13" t="s">
        <v>72</v>
      </c>
      <c r="E88" s="15" t="s">
        <v>151</v>
      </c>
      <c r="F88" s="39"/>
      <c r="G88" s="50">
        <v>7</v>
      </c>
      <c r="H88" s="50">
        <v>7</v>
      </c>
      <c r="I88" s="50">
        <v>0</v>
      </c>
      <c r="J88" s="50">
        <v>0</v>
      </c>
      <c r="K88" s="50">
        <v>0</v>
      </c>
      <c r="L88" s="50">
        <v>0</v>
      </c>
      <c r="M88" s="50">
        <v>8</v>
      </c>
      <c r="N88" s="50">
        <v>0</v>
      </c>
      <c r="O88" s="50">
        <v>0</v>
      </c>
      <c r="P88" s="50">
        <v>0</v>
      </c>
      <c r="Q88" s="50">
        <v>0</v>
      </c>
      <c r="R88" s="13">
        <v>32</v>
      </c>
      <c r="S88" s="13">
        <v>7</v>
      </c>
      <c r="T88" s="13">
        <v>7</v>
      </c>
      <c r="V88" s="13">
        <v>6</v>
      </c>
      <c r="Z88" s="13">
        <v>24</v>
      </c>
      <c r="AH88" s="13">
        <v>6</v>
      </c>
      <c r="AL88" s="13">
        <v>16</v>
      </c>
      <c r="AM88" s="13">
        <v>16</v>
      </c>
    </row>
    <row r="89" spans="1:53" ht="12" customHeight="1">
      <c r="A89" s="45" t="str">
        <f>A87</f>
        <v>pro</v>
      </c>
      <c r="B89" s="45" t="str">
        <f>B88</f>
        <v>pd</v>
      </c>
      <c r="C89" s="45" t="str">
        <f t="shared" si="19"/>
        <v>pdT</v>
      </c>
      <c r="D89" s="70" t="str">
        <f>D87</f>
        <v>BCalandra</v>
      </c>
      <c r="E89" s="47" t="str">
        <f>"TOTAL Avail: "&amp;D89</f>
        <v>TOTAL Avail: BCalandra</v>
      </c>
      <c r="F89" s="143" t="s">
        <v>818</v>
      </c>
      <c r="G89" s="51" t="str">
        <f aca="true" t="shared" si="20" ref="G89:AD89">32-SUM(G76:G88)</f>
        <v>26</v>
      </c>
      <c r="H89" s="51" t="str">
        <f t="shared" si="20"/>
        <v>16</v>
      </c>
      <c r="I89" s="51" t="str">
        <f t="shared" si="20"/>
        <v>31</v>
      </c>
      <c r="J89" s="51" t="str">
        <f t="shared" si="20"/>
        <v>31</v>
      </c>
      <c r="K89" s="51" t="str">
        <f t="shared" si="20"/>
        <v>28</v>
      </c>
      <c r="L89" s="51" t="str">
        <f t="shared" si="20"/>
        <v>32</v>
      </c>
      <c r="M89" s="51" t="str">
        <f t="shared" si="20"/>
        <v>22</v>
      </c>
      <c r="N89" s="51" t="str">
        <f t="shared" si="20"/>
        <v>25</v>
      </c>
      <c r="O89" s="51" t="str">
        <f t="shared" si="20"/>
        <v>17</v>
      </c>
      <c r="P89" s="51" t="str">
        <f t="shared" si="20"/>
        <v>14</v>
      </c>
      <c r="Q89" s="51" t="str">
        <f t="shared" si="20"/>
        <v>23</v>
      </c>
      <c r="R89" s="51" t="str">
        <f t="shared" si="20"/>
        <v>-32</v>
      </c>
      <c r="S89" s="51" t="str">
        <f t="shared" si="20"/>
        <v>-8</v>
      </c>
      <c r="T89" s="51" t="str">
        <f t="shared" si="20"/>
        <v>2</v>
      </c>
      <c r="U89" s="51" t="str">
        <f t="shared" si="20"/>
        <v>6</v>
      </c>
      <c r="V89" s="51" t="str">
        <f t="shared" si="20"/>
        <v>3</v>
      </c>
      <c r="W89" s="51" t="str">
        <f t="shared" si="20"/>
        <v>9</v>
      </c>
      <c r="X89" s="51" t="str">
        <f t="shared" si="20"/>
        <v>9</v>
      </c>
      <c r="Y89" s="51" t="str">
        <f t="shared" si="20"/>
        <v>9</v>
      </c>
      <c r="Z89" s="51" t="str">
        <f t="shared" si="20"/>
        <v>-24</v>
      </c>
      <c r="AA89" s="51" t="str">
        <f t="shared" si="20"/>
        <v>4</v>
      </c>
      <c r="AB89" s="51" t="str">
        <f t="shared" si="20"/>
        <v>9</v>
      </c>
      <c r="AC89" s="51" t="str">
        <f t="shared" si="20"/>
        <v>8</v>
      </c>
      <c r="AD89" s="51" t="str">
        <f t="shared" si="20"/>
        <v>14</v>
      </c>
      <c r="AE89" s="51" t="str">
        <f aca="true" t="shared" si="21" ref="AE89:AM89">16-SUM(AE84:AE88)</f>
        <v>0</v>
      </c>
      <c r="AF89" s="51" t="str">
        <f t="shared" si="21"/>
        <v>0</v>
      </c>
      <c r="AG89" s="51" t="str">
        <f t="shared" si="21"/>
        <v>3</v>
      </c>
      <c r="AH89" s="51" t="str">
        <f t="shared" si="21"/>
        <v>0</v>
      </c>
      <c r="AI89" s="51" t="str">
        <f t="shared" si="21"/>
        <v>8</v>
      </c>
      <c r="AJ89" s="51" t="str">
        <f t="shared" si="21"/>
        <v>8</v>
      </c>
      <c r="AK89" s="51" t="str">
        <f t="shared" si="21"/>
        <v>-2</v>
      </c>
      <c r="AL89" s="51" t="str">
        <f t="shared" si="21"/>
        <v>0</v>
      </c>
      <c r="AM89" s="51" t="str">
        <f t="shared" si="21"/>
        <v>0</v>
      </c>
      <c r="AN89" s="51" t="str">
        <f aca="true" t="shared" si="22" ref="AN89:BA89">32-SUM(AN84:AN88)</f>
        <v>2</v>
      </c>
      <c r="AO89" s="51" t="str">
        <f t="shared" si="22"/>
        <v>2</v>
      </c>
      <c r="AP89" s="51" t="str">
        <f t="shared" si="22"/>
        <v>2</v>
      </c>
      <c r="AQ89" s="51" t="str">
        <f t="shared" si="22"/>
        <v>2</v>
      </c>
      <c r="AR89" s="51" t="str">
        <f t="shared" si="22"/>
        <v>14</v>
      </c>
      <c r="AS89" s="51" t="str">
        <f t="shared" si="22"/>
        <v>14</v>
      </c>
      <c r="AT89" s="51" t="str">
        <f t="shared" si="22"/>
        <v>14</v>
      </c>
      <c r="AU89" s="51" t="str">
        <f t="shared" si="22"/>
        <v>14</v>
      </c>
      <c r="AV89" s="51" t="str">
        <f t="shared" si="22"/>
        <v>24</v>
      </c>
      <c r="AW89" s="51" t="str">
        <f t="shared" si="22"/>
        <v>24</v>
      </c>
      <c r="AX89" s="51" t="str">
        <f t="shared" si="22"/>
        <v>32</v>
      </c>
      <c r="AY89" s="51" t="str">
        <f t="shared" si="22"/>
        <v>32</v>
      </c>
      <c r="AZ89" s="51" t="str">
        <f t="shared" si="22"/>
        <v>32</v>
      </c>
      <c r="BA89" s="51" t="str">
        <f t="shared" si="22"/>
        <v>32</v>
      </c>
    </row>
    <row r="90" spans="1:53" ht="12" customHeight="1">
      <c r="A90" s="13" t="s">
        <v>804</v>
      </c>
      <c r="B90" s="13" t="s">
        <v>155</v>
      </c>
      <c r="C90" s="13" t="s">
        <v>578</v>
      </c>
      <c r="D90" s="13" t="s">
        <v>819</v>
      </c>
      <c r="E90" s="13" t="s">
        <v>285</v>
      </c>
      <c r="F90" s="13" t="s">
        <v>820</v>
      </c>
      <c r="O90" s="13">
        <v>0</v>
      </c>
      <c r="P90" s="15">
        <v>0</v>
      </c>
      <c r="Q90" s="15">
        <v>10</v>
      </c>
      <c r="R90" s="15">
        <v>10</v>
      </c>
      <c r="S90" s="15">
        <v>10</v>
      </c>
      <c r="T90" s="15">
        <v>10</v>
      </c>
      <c r="U90" s="13">
        <v>8</v>
      </c>
      <c r="V90" s="13">
        <v>8</v>
      </c>
      <c r="W90" s="13">
        <v>8</v>
      </c>
      <c r="X90" s="13">
        <v>8</v>
      </c>
      <c r="Y90" s="13">
        <v>8</v>
      </c>
      <c r="Z90" s="13">
        <v>8</v>
      </c>
      <c r="AA90" s="13">
        <v>8</v>
      </c>
      <c r="AB90" s="13">
        <v>8</v>
      </c>
      <c r="AC90" s="13">
        <v>9.5</v>
      </c>
      <c r="AD90" s="13">
        <v>9.5</v>
      </c>
      <c r="AE90" s="13">
        <v>9.5</v>
      </c>
      <c r="AF90" s="13">
        <v>9.5</v>
      </c>
      <c r="AG90" s="13">
        <v>9.5</v>
      </c>
      <c r="AH90" s="13">
        <v>9.5</v>
      </c>
      <c r="AI90" s="13">
        <v>9.5</v>
      </c>
      <c r="AJ90" s="13">
        <v>9.5</v>
      </c>
      <c r="AK90" s="13">
        <v>9.5</v>
      </c>
      <c r="AL90" s="13">
        <v>0</v>
      </c>
      <c r="AM90" s="13">
        <v>0</v>
      </c>
      <c r="AN90" s="13">
        <v>9.5</v>
      </c>
      <c r="AO90" s="13">
        <v>9.5</v>
      </c>
      <c r="AP90" s="13">
        <v>9.5</v>
      </c>
      <c r="AQ90" s="13">
        <v>9.5</v>
      </c>
      <c r="AR90" s="13">
        <v>9.5</v>
      </c>
      <c r="AS90" s="13">
        <v>9.5</v>
      </c>
      <c r="AT90" s="13">
        <v>9.5</v>
      </c>
      <c r="AU90" s="13">
        <v>9.5</v>
      </c>
      <c r="AV90" s="13">
        <v>9.5</v>
      </c>
      <c r="AW90" s="13">
        <v>9.5</v>
      </c>
      <c r="AX90" s="13">
        <v>9.5</v>
      </c>
      <c r="AY90" s="13">
        <v>9.5</v>
      </c>
      <c r="AZ90" s="13">
        <v>9.5</v>
      </c>
      <c r="BA90" s="13">
        <v>0</v>
      </c>
    </row>
    <row r="91" spans="1:39" ht="12" customHeight="1">
      <c r="A91" s="13" t="s">
        <v>804</v>
      </c>
      <c r="B91" s="13" t="s">
        <v>155</v>
      </c>
      <c r="C91" s="35" t="str">
        <f aca="true" t="shared" si="23" ref="C91:C104">B91&amp;IF(LEFT(E91,5)="TOTAL","T","")</f>
        <v>pm</v>
      </c>
      <c r="D91" s="13" t="s">
        <v>821</v>
      </c>
      <c r="E91" s="15" t="s">
        <v>151</v>
      </c>
      <c r="F91" s="39"/>
      <c r="G91" s="50">
        <v>7</v>
      </c>
      <c r="H91" s="50">
        <v>7</v>
      </c>
      <c r="I91" s="50">
        <v>0</v>
      </c>
      <c r="J91" s="50">
        <v>0</v>
      </c>
      <c r="K91" s="50">
        <v>0</v>
      </c>
      <c r="L91" s="50">
        <v>0</v>
      </c>
      <c r="M91" s="50">
        <v>0</v>
      </c>
      <c r="N91" s="50">
        <v>0</v>
      </c>
      <c r="O91" s="50">
        <v>0</v>
      </c>
      <c r="P91" s="50">
        <v>0</v>
      </c>
      <c r="Q91" s="13">
        <v>0</v>
      </c>
      <c r="R91" s="13">
        <v>0</v>
      </c>
      <c r="S91" s="13">
        <v>0</v>
      </c>
      <c r="T91" s="13">
        <v>0</v>
      </c>
      <c r="U91" s="13">
        <v>0</v>
      </c>
      <c r="V91" s="13">
        <v>6</v>
      </c>
      <c r="AL91" s="13">
        <v>9.5</v>
      </c>
      <c r="AM91" s="13">
        <v>9.5</v>
      </c>
    </row>
    <row r="92" spans="1:53" ht="12" customHeight="1">
      <c r="A92" s="45" t="str">
        <f>A91</f>
        <v>per</v>
      </c>
      <c r="B92" s="57" t="s">
        <v>155</v>
      </c>
      <c r="C92" s="45" t="str">
        <f t="shared" si="23"/>
        <v>pmT</v>
      </c>
      <c r="D92" s="45" t="str">
        <f>D91</f>
        <v>KSheriden</v>
      </c>
      <c r="E92" s="47" t="str">
        <f>"TOTAL Avail: "&amp;D92</f>
        <v>TOTAL Avail: KSheriden</v>
      </c>
      <c r="F92" s="49"/>
      <c r="G92" s="51" t="str">
        <f aca="true" t="shared" si="24" ref="G92:L92">32-SUM(G79:G91)</f>
        <v>0</v>
      </c>
      <c r="H92" s="51" t="str">
        <f t="shared" si="24"/>
        <v>0</v>
      </c>
      <c r="I92" s="51" t="str">
        <f t="shared" si="24"/>
        <v>4</v>
      </c>
      <c r="J92" s="51" t="str">
        <f t="shared" si="24"/>
        <v>4</v>
      </c>
      <c r="K92" s="51" t="str">
        <f t="shared" si="24"/>
        <v>5</v>
      </c>
      <c r="L92" s="51" t="str">
        <f t="shared" si="24"/>
        <v>4</v>
      </c>
      <c r="M92" s="315">
        <v>0</v>
      </c>
      <c r="N92" s="315">
        <v>0</v>
      </c>
      <c r="O92" s="315">
        <v>0</v>
      </c>
      <c r="P92" s="315">
        <v>0</v>
      </c>
      <c r="Q92" s="315">
        <v>0</v>
      </c>
      <c r="R92" s="315">
        <v>0</v>
      </c>
      <c r="S92" s="315">
        <v>0</v>
      </c>
      <c r="T92" s="315">
        <v>0</v>
      </c>
      <c r="U92" s="315">
        <v>0</v>
      </c>
      <c r="V92" s="315">
        <v>0</v>
      </c>
      <c r="W92" s="315">
        <v>0</v>
      </c>
      <c r="X92" s="315">
        <v>0</v>
      </c>
      <c r="Y92" s="315">
        <v>0</v>
      </c>
      <c r="Z92" s="315">
        <v>0</v>
      </c>
      <c r="AA92" s="315">
        <v>0</v>
      </c>
      <c r="AB92" s="315">
        <v>0</v>
      </c>
      <c r="AC92" s="51" t="str">
        <f aca="true" t="shared" si="25" ref="AC92:AD92">32-SUM(AC79:AC91)</f>
        <v>1.5</v>
      </c>
      <c r="AD92" s="51" t="str">
        <f t="shared" si="25"/>
        <v>4.5</v>
      </c>
      <c r="AE92" s="51" t="str">
        <f aca="true" t="shared" si="26" ref="AE92:BA92">9.5-SUM(AE90:AE91)</f>
        <v>0</v>
      </c>
      <c r="AF92" s="51" t="str">
        <f t="shared" si="26"/>
        <v>0</v>
      </c>
      <c r="AG92" s="51" t="str">
        <f t="shared" si="26"/>
        <v>0</v>
      </c>
      <c r="AH92" s="51" t="str">
        <f t="shared" si="26"/>
        <v>0</v>
      </c>
      <c r="AI92" s="51" t="str">
        <f t="shared" si="26"/>
        <v>0</v>
      </c>
      <c r="AJ92" s="51" t="str">
        <f t="shared" si="26"/>
        <v>0</v>
      </c>
      <c r="AK92" s="51" t="str">
        <f t="shared" si="26"/>
        <v>0</v>
      </c>
      <c r="AL92" s="51" t="str">
        <f t="shared" si="26"/>
        <v>0</v>
      </c>
      <c r="AM92" s="51" t="str">
        <f t="shared" si="26"/>
        <v>0</v>
      </c>
      <c r="AN92" s="51" t="str">
        <f t="shared" si="26"/>
        <v>0</v>
      </c>
      <c r="AO92" s="51" t="str">
        <f t="shared" si="26"/>
        <v>0</v>
      </c>
      <c r="AP92" s="51" t="str">
        <f t="shared" si="26"/>
        <v>0</v>
      </c>
      <c r="AQ92" s="51" t="str">
        <f t="shared" si="26"/>
        <v>0</v>
      </c>
      <c r="AR92" s="51" t="str">
        <f t="shared" si="26"/>
        <v>0</v>
      </c>
      <c r="AS92" s="51" t="str">
        <f t="shared" si="26"/>
        <v>0</v>
      </c>
      <c r="AT92" s="51" t="str">
        <f t="shared" si="26"/>
        <v>0</v>
      </c>
      <c r="AU92" s="51" t="str">
        <f t="shared" si="26"/>
        <v>0</v>
      </c>
      <c r="AV92" s="51" t="str">
        <f t="shared" si="26"/>
        <v>0</v>
      </c>
      <c r="AW92" s="51" t="str">
        <f t="shared" si="26"/>
        <v>0</v>
      </c>
      <c r="AX92" s="51" t="str">
        <f t="shared" si="26"/>
        <v>0</v>
      </c>
      <c r="AY92" s="51" t="str">
        <f t="shared" si="26"/>
        <v>0</v>
      </c>
      <c r="AZ92" s="51" t="str">
        <f t="shared" si="26"/>
        <v>0</v>
      </c>
      <c r="BA92" s="51" t="str">
        <f t="shared" si="26"/>
        <v>9.5</v>
      </c>
    </row>
    <row r="93" spans="1:33" ht="12" customHeight="1">
      <c r="A93" s="13" t="s">
        <v>694</v>
      </c>
      <c r="B93" s="13" t="s">
        <v>703</v>
      </c>
      <c r="C93" s="35" t="str">
        <f t="shared" si="23"/>
        <v>an</v>
      </c>
      <c r="D93" s="13" t="s">
        <v>74</v>
      </c>
      <c r="E93" s="15" t="s">
        <v>712</v>
      </c>
      <c r="F93" s="15" t="s">
        <v>822</v>
      </c>
      <c r="G93" s="141"/>
      <c r="H93" s="141"/>
      <c r="I93" s="141"/>
      <c r="J93" s="141"/>
      <c r="K93" s="141"/>
      <c r="L93" s="141"/>
      <c r="M93" s="141"/>
      <c r="O93" s="13">
        <v>0</v>
      </c>
      <c r="P93" s="13">
        <v>8</v>
      </c>
      <c r="Q93" s="13">
        <v>8</v>
      </c>
      <c r="R93" s="13">
        <v>8</v>
      </c>
      <c r="S93" s="13">
        <v>8</v>
      </c>
      <c r="T93" s="13">
        <v>8</v>
      </c>
      <c r="U93" s="13">
        <v>8</v>
      </c>
      <c r="V93" s="13">
        <v>8</v>
      </c>
      <c r="W93" s="13">
        <v>8</v>
      </c>
      <c r="X93" s="13">
        <v>8</v>
      </c>
      <c r="Y93" s="13">
        <v>8</v>
      </c>
      <c r="Z93" s="13">
        <v>8</v>
      </c>
      <c r="AA93" s="13">
        <v>8</v>
      </c>
      <c r="AB93" s="13">
        <v>8</v>
      </c>
      <c r="AC93" s="13">
        <v>8</v>
      </c>
      <c r="AD93" s="13">
        <v>8</v>
      </c>
      <c r="AE93" s="13">
        <v>8</v>
      </c>
      <c r="AF93" s="13">
        <v>8</v>
      </c>
      <c r="AG93" s="13">
        <v>8</v>
      </c>
    </row>
    <row r="94" spans="1:53" ht="12" customHeight="1">
      <c r="A94" s="13" t="s">
        <v>694</v>
      </c>
      <c r="B94" s="13" t="s">
        <v>703</v>
      </c>
      <c r="C94" s="35" t="str">
        <f t="shared" si="23"/>
        <v>an</v>
      </c>
      <c r="D94" s="13" t="s">
        <v>74</v>
      </c>
      <c r="E94" s="13" t="s">
        <v>706</v>
      </c>
      <c r="F94" s="13" t="s">
        <v>823</v>
      </c>
      <c r="G94" s="39"/>
      <c r="H94" s="39"/>
      <c r="I94" s="39"/>
      <c r="J94" s="39"/>
      <c r="K94" s="39"/>
      <c r="L94" s="39"/>
      <c r="M94" s="39"/>
      <c r="P94" s="13">
        <v>14</v>
      </c>
      <c r="Q94" s="13">
        <v>14</v>
      </c>
      <c r="R94" s="13">
        <v>14</v>
      </c>
      <c r="S94" s="13">
        <v>9</v>
      </c>
      <c r="T94" s="13">
        <v>20</v>
      </c>
      <c r="U94" s="13">
        <v>20</v>
      </c>
      <c r="V94" s="13">
        <v>14</v>
      </c>
      <c r="W94" s="13">
        <v>9</v>
      </c>
      <c r="X94" s="13">
        <v>20</v>
      </c>
      <c r="Y94" s="13">
        <v>20</v>
      </c>
      <c r="Z94" s="13">
        <v>14</v>
      </c>
      <c r="AA94" s="13">
        <v>9</v>
      </c>
      <c r="AB94" s="13">
        <v>20</v>
      </c>
      <c r="AC94" s="13">
        <v>20</v>
      </c>
      <c r="AD94" s="13">
        <v>14</v>
      </c>
      <c r="AE94" s="13">
        <v>9</v>
      </c>
      <c r="AF94" s="13">
        <v>20</v>
      </c>
      <c r="AG94" s="13">
        <v>20</v>
      </c>
      <c r="AH94" s="13">
        <v>20</v>
      </c>
      <c r="AI94" s="13">
        <v>20</v>
      </c>
      <c r="AJ94" s="13">
        <v>20</v>
      </c>
      <c r="AK94" s="13">
        <v>20</v>
      </c>
      <c r="AL94" s="13">
        <v>0</v>
      </c>
      <c r="AM94" s="13">
        <v>0</v>
      </c>
      <c r="AN94" s="13">
        <v>20</v>
      </c>
      <c r="AO94" s="13">
        <v>20</v>
      </c>
      <c r="AP94" s="13">
        <v>20</v>
      </c>
      <c r="AQ94" s="13">
        <v>20</v>
      </c>
      <c r="AR94" s="13">
        <v>20</v>
      </c>
      <c r="AS94" s="13">
        <v>20</v>
      </c>
      <c r="AT94" s="13">
        <v>20</v>
      </c>
      <c r="AU94" s="13">
        <v>20</v>
      </c>
      <c r="AV94" s="13">
        <v>20</v>
      </c>
      <c r="AW94" s="13">
        <v>20</v>
      </c>
      <c r="AX94" s="13">
        <v>20</v>
      </c>
      <c r="AY94" s="13">
        <v>20</v>
      </c>
      <c r="AZ94" s="13">
        <v>20</v>
      </c>
      <c r="BA94" s="13">
        <v>0</v>
      </c>
    </row>
    <row r="95" spans="1:33" ht="12" customHeight="1">
      <c r="A95" s="13" t="s">
        <v>694</v>
      </c>
      <c r="B95" s="13" t="s">
        <v>703</v>
      </c>
      <c r="C95" s="35" t="str">
        <f t="shared" si="23"/>
        <v>an</v>
      </c>
      <c r="D95" s="13" t="s">
        <v>74</v>
      </c>
      <c r="E95" s="13" t="s">
        <v>824</v>
      </c>
      <c r="F95" s="13" t="s">
        <v>825</v>
      </c>
      <c r="G95" s="39"/>
      <c r="H95" s="39"/>
      <c r="I95" s="39"/>
      <c r="J95" s="39"/>
      <c r="K95" s="39"/>
      <c r="L95" s="39"/>
      <c r="M95" s="39"/>
      <c r="P95" s="13">
        <v>10</v>
      </c>
      <c r="Q95" s="13">
        <v>10</v>
      </c>
      <c r="R95" s="13">
        <v>10</v>
      </c>
      <c r="S95" s="13">
        <v>15</v>
      </c>
      <c r="T95" s="13">
        <v>4</v>
      </c>
      <c r="U95" s="13">
        <v>4</v>
      </c>
      <c r="V95" s="13">
        <v>10</v>
      </c>
      <c r="W95" s="13">
        <v>15</v>
      </c>
      <c r="X95" s="13">
        <v>4</v>
      </c>
      <c r="Y95" s="13">
        <v>4</v>
      </c>
      <c r="Z95" s="13">
        <v>10</v>
      </c>
      <c r="AA95" s="13">
        <v>15</v>
      </c>
      <c r="AB95" s="13">
        <v>4</v>
      </c>
      <c r="AC95" s="13">
        <v>4</v>
      </c>
      <c r="AD95" s="13">
        <v>10</v>
      </c>
      <c r="AE95" s="13">
        <v>15</v>
      </c>
      <c r="AF95" s="13">
        <v>4</v>
      </c>
      <c r="AG95" s="13">
        <v>4</v>
      </c>
    </row>
    <row r="96" spans="1:53" ht="12" customHeight="1">
      <c r="A96" s="13" t="s">
        <v>694</v>
      </c>
      <c r="B96" s="13" t="s">
        <v>703</v>
      </c>
      <c r="C96" s="35" t="str">
        <f t="shared" si="23"/>
        <v>an</v>
      </c>
      <c r="D96" s="13" t="s">
        <v>74</v>
      </c>
      <c r="E96" s="13" t="s">
        <v>151</v>
      </c>
      <c r="G96" s="15">
        <v>32</v>
      </c>
      <c r="H96" s="15">
        <v>32</v>
      </c>
      <c r="I96" s="15">
        <v>0</v>
      </c>
      <c r="J96" s="15">
        <v>0</v>
      </c>
      <c r="K96" s="15">
        <v>0</v>
      </c>
      <c r="L96" s="15">
        <v>8</v>
      </c>
      <c r="M96" s="15">
        <v>16</v>
      </c>
      <c r="N96" s="13">
        <v>0</v>
      </c>
      <c r="O96" s="13">
        <v>8</v>
      </c>
      <c r="P96" s="13">
        <v>0</v>
      </c>
      <c r="Q96" s="13">
        <v>0</v>
      </c>
      <c r="R96" s="13">
        <v>0</v>
      </c>
      <c r="S96" s="13">
        <v>0</v>
      </c>
      <c r="T96" s="13">
        <v>0</v>
      </c>
      <c r="U96" s="13">
        <v>0</v>
      </c>
      <c r="V96" s="13">
        <v>6</v>
      </c>
      <c r="AL96" s="13">
        <v>32</v>
      </c>
      <c r="AM96" s="13">
        <v>32</v>
      </c>
      <c r="AN96" s="13">
        <v>0</v>
      </c>
      <c r="AO96" s="13">
        <v>0</v>
      </c>
      <c r="AP96" s="13">
        <v>0</v>
      </c>
      <c r="AQ96" s="13">
        <v>0</v>
      </c>
      <c r="AR96" s="13">
        <v>0</v>
      </c>
      <c r="AS96" s="13">
        <v>0</v>
      </c>
      <c r="AT96" s="13">
        <v>0</v>
      </c>
      <c r="AU96" s="13">
        <v>0</v>
      </c>
      <c r="AV96" s="13">
        <v>0</v>
      </c>
      <c r="AW96" s="13">
        <v>0</v>
      </c>
      <c r="AX96" s="13">
        <v>0</v>
      </c>
      <c r="AY96" s="13">
        <v>0</v>
      </c>
      <c r="AZ96" s="13">
        <v>0</v>
      </c>
      <c r="BA96" s="13">
        <v>0</v>
      </c>
    </row>
    <row r="97" spans="1:53" ht="12" customHeight="1">
      <c r="A97" s="45" t="str">
        <f>A96</f>
        <v>svc</v>
      </c>
      <c r="B97" s="57" t="s">
        <v>703</v>
      </c>
      <c r="C97" s="45" t="str">
        <f t="shared" si="23"/>
        <v>anT</v>
      </c>
      <c r="D97" s="70" t="str">
        <f>D96</f>
        <v>MCrenshaw</v>
      </c>
      <c r="E97" s="47" t="str">
        <f>"TOTAL Avail: "&amp;D97</f>
        <v>TOTAL Avail: MCrenshaw</v>
      </c>
      <c r="F97" s="49"/>
      <c r="G97" s="51" t="str">
        <f aca="true" t="shared" si="27" ref="G97:N97">32-SUM(G83:G96)</f>
        <v>-18</v>
      </c>
      <c r="H97" s="51" t="str">
        <f t="shared" si="27"/>
        <v>-18</v>
      </c>
      <c r="I97" s="51" t="str">
        <f t="shared" si="27"/>
        <v>4</v>
      </c>
      <c r="J97" s="51" t="str">
        <f t="shared" si="27"/>
        <v>4</v>
      </c>
      <c r="K97" s="51" t="str">
        <f t="shared" si="27"/>
        <v>8</v>
      </c>
      <c r="L97" s="51" t="str">
        <f t="shared" si="27"/>
        <v>-5</v>
      </c>
      <c r="M97" s="51" t="str">
        <f t="shared" si="27"/>
        <v>1</v>
      </c>
      <c r="N97" s="51" t="str">
        <f t="shared" si="27"/>
        <v>25</v>
      </c>
      <c r="O97" s="51" t="str">
        <f aca="true" t="shared" si="28" ref="O97:BA97">32-SUM(O93:O96)</f>
        <v>24</v>
      </c>
      <c r="P97" s="51" t="str">
        <f t="shared" si="28"/>
        <v>0</v>
      </c>
      <c r="Q97" s="51" t="str">
        <f t="shared" si="28"/>
        <v>0</v>
      </c>
      <c r="R97" s="51" t="str">
        <f t="shared" si="28"/>
        <v>0</v>
      </c>
      <c r="S97" s="51" t="str">
        <f t="shared" si="28"/>
        <v>0</v>
      </c>
      <c r="T97" s="51" t="str">
        <f t="shared" si="28"/>
        <v>0</v>
      </c>
      <c r="U97" s="51" t="str">
        <f t="shared" si="28"/>
        <v>0</v>
      </c>
      <c r="V97" s="51" t="str">
        <f t="shared" si="28"/>
        <v>-6</v>
      </c>
      <c r="W97" s="51" t="str">
        <f t="shared" si="28"/>
        <v>0</v>
      </c>
      <c r="X97" s="51" t="str">
        <f t="shared" si="28"/>
        <v>0</v>
      </c>
      <c r="Y97" s="51" t="str">
        <f t="shared" si="28"/>
        <v>0</v>
      </c>
      <c r="Z97" s="51" t="str">
        <f t="shared" si="28"/>
        <v>0</v>
      </c>
      <c r="AA97" s="51" t="str">
        <f t="shared" si="28"/>
        <v>0</v>
      </c>
      <c r="AB97" s="51" t="str">
        <f t="shared" si="28"/>
        <v>0</v>
      </c>
      <c r="AC97" s="51" t="str">
        <f t="shared" si="28"/>
        <v>0</v>
      </c>
      <c r="AD97" s="51" t="str">
        <f t="shared" si="28"/>
        <v>0</v>
      </c>
      <c r="AE97" s="51" t="str">
        <f t="shared" si="28"/>
        <v>0</v>
      </c>
      <c r="AF97" s="51" t="str">
        <f t="shared" si="28"/>
        <v>0</v>
      </c>
      <c r="AG97" s="51" t="str">
        <f t="shared" si="28"/>
        <v>0</v>
      </c>
      <c r="AH97" s="51" t="str">
        <f t="shared" si="28"/>
        <v>12</v>
      </c>
      <c r="AI97" s="51" t="str">
        <f t="shared" si="28"/>
        <v>12</v>
      </c>
      <c r="AJ97" s="51" t="str">
        <f t="shared" si="28"/>
        <v>12</v>
      </c>
      <c r="AK97" s="51" t="str">
        <f t="shared" si="28"/>
        <v>12</v>
      </c>
      <c r="AL97" s="51" t="str">
        <f t="shared" si="28"/>
        <v>0</v>
      </c>
      <c r="AM97" s="51" t="str">
        <f t="shared" si="28"/>
        <v>0</v>
      </c>
      <c r="AN97" s="51" t="str">
        <f t="shared" si="28"/>
        <v>12</v>
      </c>
      <c r="AO97" s="51" t="str">
        <f t="shared" si="28"/>
        <v>12</v>
      </c>
      <c r="AP97" s="51" t="str">
        <f t="shared" si="28"/>
        <v>12</v>
      </c>
      <c r="AQ97" s="51" t="str">
        <f t="shared" si="28"/>
        <v>12</v>
      </c>
      <c r="AR97" s="51" t="str">
        <f t="shared" si="28"/>
        <v>12</v>
      </c>
      <c r="AS97" s="51" t="str">
        <f t="shared" si="28"/>
        <v>12</v>
      </c>
      <c r="AT97" s="51" t="str">
        <f t="shared" si="28"/>
        <v>12</v>
      </c>
      <c r="AU97" s="51" t="str">
        <f t="shared" si="28"/>
        <v>12</v>
      </c>
      <c r="AV97" s="51" t="str">
        <f t="shared" si="28"/>
        <v>12</v>
      </c>
      <c r="AW97" s="51" t="str">
        <f t="shared" si="28"/>
        <v>12</v>
      </c>
      <c r="AX97" s="51" t="str">
        <f t="shared" si="28"/>
        <v>12</v>
      </c>
      <c r="AY97" s="51" t="str">
        <f t="shared" si="28"/>
        <v>12</v>
      </c>
      <c r="AZ97" s="51" t="str">
        <f t="shared" si="28"/>
        <v>12</v>
      </c>
      <c r="BA97" s="51" t="str">
        <f t="shared" si="28"/>
        <v>32</v>
      </c>
    </row>
    <row r="98" spans="1:53" ht="12" customHeight="1">
      <c r="A98" s="13" t="s">
        <v>694</v>
      </c>
      <c r="B98" s="13" t="s">
        <v>703</v>
      </c>
      <c r="C98" s="35" t="str">
        <f t="shared" si="23"/>
        <v>an</v>
      </c>
      <c r="D98" s="13" t="s">
        <v>77</v>
      </c>
      <c r="E98" s="13" t="s">
        <v>167</v>
      </c>
      <c r="G98" s="15">
        <v>10</v>
      </c>
      <c r="H98" s="15">
        <v>10</v>
      </c>
      <c r="I98" s="15">
        <v>5</v>
      </c>
      <c r="J98" s="15">
        <v>2</v>
      </c>
      <c r="K98" s="15">
        <v>2</v>
      </c>
      <c r="L98" s="15">
        <v>2</v>
      </c>
      <c r="M98" s="15">
        <v>2</v>
      </c>
      <c r="N98" s="13">
        <v>2</v>
      </c>
      <c r="O98" s="13">
        <v>2</v>
      </c>
      <c r="P98" s="13">
        <v>2</v>
      </c>
      <c r="Q98" s="13">
        <v>2</v>
      </c>
      <c r="R98" s="13">
        <v>2</v>
      </c>
      <c r="S98" s="13">
        <v>2</v>
      </c>
      <c r="T98" s="13">
        <v>2</v>
      </c>
      <c r="U98" s="13">
        <v>2</v>
      </c>
      <c r="V98" s="13">
        <v>2</v>
      </c>
      <c r="W98" s="13">
        <v>2</v>
      </c>
      <c r="X98" s="13">
        <v>10</v>
      </c>
      <c r="Y98" s="13">
        <v>5</v>
      </c>
      <c r="Z98" s="13">
        <v>2</v>
      </c>
      <c r="AA98" s="13">
        <v>2</v>
      </c>
      <c r="AB98" s="13">
        <v>2</v>
      </c>
      <c r="AC98" s="13">
        <v>2</v>
      </c>
      <c r="AD98" s="13">
        <v>2</v>
      </c>
      <c r="AE98" s="13">
        <v>2</v>
      </c>
      <c r="AF98" s="13">
        <v>2</v>
      </c>
      <c r="AG98" s="13">
        <v>2</v>
      </c>
      <c r="AH98" s="13">
        <v>2</v>
      </c>
      <c r="AI98" s="13">
        <v>2</v>
      </c>
      <c r="AJ98" s="13">
        <v>2</v>
      </c>
      <c r="AK98" s="13">
        <v>2</v>
      </c>
      <c r="AL98" s="13">
        <v>2</v>
      </c>
      <c r="AM98" s="13">
        <v>2</v>
      </c>
      <c r="AN98" s="13">
        <v>2</v>
      </c>
      <c r="AO98" s="13">
        <v>2</v>
      </c>
      <c r="AP98" s="13">
        <v>2</v>
      </c>
      <c r="AQ98" s="13">
        <v>2</v>
      </c>
      <c r="AR98" s="13">
        <v>2</v>
      </c>
      <c r="AS98" s="13">
        <v>2</v>
      </c>
      <c r="AT98" s="13">
        <v>2</v>
      </c>
      <c r="AU98" s="13">
        <v>2</v>
      </c>
      <c r="AV98" s="13">
        <v>2</v>
      </c>
      <c r="AW98" s="13">
        <v>2</v>
      </c>
      <c r="AX98" s="13">
        <v>2</v>
      </c>
      <c r="AY98" s="13">
        <v>2</v>
      </c>
      <c r="AZ98" s="13">
        <v>2</v>
      </c>
      <c r="BA98" s="13">
        <v>0</v>
      </c>
    </row>
    <row r="99" spans="1:13" ht="12" customHeight="1">
      <c r="A99" s="13" t="s">
        <v>694</v>
      </c>
      <c r="B99" s="13" t="s">
        <v>703</v>
      </c>
      <c r="C99" s="35" t="str">
        <f t="shared" si="23"/>
        <v>an</v>
      </c>
      <c r="D99" s="13" t="s">
        <v>77</v>
      </c>
      <c r="E99" s="13" t="s">
        <v>699</v>
      </c>
      <c r="G99" s="15">
        <v>5</v>
      </c>
      <c r="H99" s="15">
        <v>5</v>
      </c>
      <c r="I99" s="15">
        <v>0</v>
      </c>
      <c r="J99" s="15">
        <v>0</v>
      </c>
      <c r="K99" s="15">
        <v>0</v>
      </c>
      <c r="L99" s="15">
        <v>0</v>
      </c>
      <c r="M99" s="15">
        <v>0</v>
      </c>
    </row>
    <row r="100" spans="1:13" ht="12" customHeight="1">
      <c r="A100" s="13" t="s">
        <v>694</v>
      </c>
      <c r="B100" s="13" t="s">
        <v>703</v>
      </c>
      <c r="C100" s="35" t="str">
        <f t="shared" si="23"/>
        <v>an</v>
      </c>
      <c r="D100" s="13" t="s">
        <v>77</v>
      </c>
      <c r="E100" s="13" t="s">
        <v>711</v>
      </c>
      <c r="G100" s="15">
        <v>5</v>
      </c>
      <c r="H100" s="15">
        <v>5</v>
      </c>
      <c r="I100" s="15">
        <v>5</v>
      </c>
      <c r="J100" s="15">
        <v>0</v>
      </c>
      <c r="K100" s="15">
        <v>0</v>
      </c>
      <c r="L100" s="15">
        <v>0</v>
      </c>
      <c r="M100" s="15">
        <v>0</v>
      </c>
    </row>
    <row r="101" spans="1:18" ht="12" customHeight="1">
      <c r="A101" s="13" t="s">
        <v>694</v>
      </c>
      <c r="B101" s="13" t="s">
        <v>703</v>
      </c>
      <c r="C101" s="35" t="str">
        <f t="shared" si="23"/>
        <v>an</v>
      </c>
      <c r="D101" s="13" t="s">
        <v>77</v>
      </c>
      <c r="E101" s="13" t="s">
        <v>716</v>
      </c>
      <c r="G101" s="39"/>
      <c r="H101" s="39"/>
      <c r="I101" s="39"/>
      <c r="J101" s="15">
        <v>5</v>
      </c>
      <c r="K101" s="15">
        <v>5</v>
      </c>
      <c r="L101" s="15">
        <v>5</v>
      </c>
      <c r="M101" s="15">
        <v>5</v>
      </c>
      <c r="N101" s="13">
        <v>2</v>
      </c>
      <c r="O101" s="13">
        <v>5</v>
      </c>
      <c r="P101" s="13">
        <v>5</v>
      </c>
      <c r="Q101" s="13">
        <v>10</v>
      </c>
      <c r="R101" s="13">
        <v>5</v>
      </c>
    </row>
    <row r="102" spans="1:53" ht="12" customHeight="1">
      <c r="A102" s="13" t="s">
        <v>694</v>
      </c>
      <c r="B102" s="13" t="s">
        <v>703</v>
      </c>
      <c r="C102" s="35" t="str">
        <f t="shared" si="23"/>
        <v>an</v>
      </c>
      <c r="D102" s="13" t="s">
        <v>77</v>
      </c>
      <c r="E102" s="13" t="s">
        <v>706</v>
      </c>
      <c r="G102" s="15">
        <v>5</v>
      </c>
      <c r="H102" s="15">
        <v>5</v>
      </c>
      <c r="I102" s="15">
        <v>10</v>
      </c>
      <c r="J102" s="15">
        <v>10</v>
      </c>
      <c r="K102" s="15">
        <v>10</v>
      </c>
      <c r="L102" s="15">
        <v>10</v>
      </c>
      <c r="M102" s="15">
        <v>15</v>
      </c>
      <c r="N102" s="13">
        <v>20</v>
      </c>
      <c r="O102" s="13">
        <v>15</v>
      </c>
      <c r="P102" s="13">
        <v>20</v>
      </c>
      <c r="Q102" s="13">
        <v>15</v>
      </c>
      <c r="R102" s="13">
        <v>20</v>
      </c>
      <c r="S102" s="13">
        <v>25</v>
      </c>
      <c r="T102" s="13">
        <v>25</v>
      </c>
      <c r="U102" s="13">
        <v>25</v>
      </c>
      <c r="V102" s="13">
        <v>20</v>
      </c>
      <c r="W102" s="13">
        <v>20</v>
      </c>
      <c r="X102" s="13">
        <v>20</v>
      </c>
      <c r="Y102" s="13">
        <v>20</v>
      </c>
      <c r="Z102" s="13">
        <v>20</v>
      </c>
      <c r="AA102" s="13">
        <v>20</v>
      </c>
      <c r="AB102" s="13">
        <v>30</v>
      </c>
      <c r="AC102" s="13">
        <v>30</v>
      </c>
      <c r="AD102" s="13">
        <v>30</v>
      </c>
      <c r="AE102" s="13">
        <v>30</v>
      </c>
      <c r="AF102" s="13">
        <v>30</v>
      </c>
      <c r="AG102" s="13">
        <v>30</v>
      </c>
      <c r="AH102" s="13">
        <v>30</v>
      </c>
      <c r="AI102" s="13">
        <v>30</v>
      </c>
      <c r="AJ102" s="13">
        <v>30</v>
      </c>
      <c r="AK102" s="13">
        <v>30</v>
      </c>
      <c r="AL102" s="13">
        <v>0</v>
      </c>
      <c r="AM102" s="13">
        <v>0</v>
      </c>
      <c r="AN102" s="13">
        <v>20</v>
      </c>
      <c r="AO102" s="13">
        <v>20</v>
      </c>
      <c r="AP102" s="13">
        <v>20</v>
      </c>
      <c r="AQ102" s="13">
        <v>20</v>
      </c>
      <c r="AR102" s="13">
        <v>20</v>
      </c>
      <c r="AS102" s="13">
        <v>20</v>
      </c>
      <c r="AT102" s="13">
        <v>20</v>
      </c>
      <c r="AU102" s="13">
        <v>20</v>
      </c>
      <c r="AV102" s="13">
        <v>20</v>
      </c>
      <c r="AW102" s="13">
        <v>20</v>
      </c>
      <c r="AX102" s="13">
        <v>20</v>
      </c>
      <c r="AY102" s="13">
        <v>20</v>
      </c>
      <c r="AZ102" s="13">
        <v>20</v>
      </c>
      <c r="BA102" s="13">
        <v>0</v>
      </c>
    </row>
    <row r="103" spans="1:53" ht="12" customHeight="1">
      <c r="A103" s="13" t="s">
        <v>694</v>
      </c>
      <c r="B103" s="13" t="s">
        <v>703</v>
      </c>
      <c r="C103" s="35" t="str">
        <f t="shared" si="23"/>
        <v>an</v>
      </c>
      <c r="D103" s="13" t="s">
        <v>77</v>
      </c>
      <c r="E103" s="13" t="s">
        <v>712</v>
      </c>
      <c r="G103" s="15">
        <v>10</v>
      </c>
      <c r="H103" s="15">
        <v>10</v>
      </c>
      <c r="I103" s="15">
        <v>10</v>
      </c>
      <c r="J103" s="15">
        <v>15</v>
      </c>
      <c r="K103" s="15">
        <v>15</v>
      </c>
      <c r="L103" s="15">
        <v>15</v>
      </c>
      <c r="M103" s="15">
        <v>5</v>
      </c>
      <c r="N103" s="13">
        <v>10</v>
      </c>
      <c r="O103" s="13">
        <v>15</v>
      </c>
      <c r="P103" s="13">
        <v>5</v>
      </c>
      <c r="Q103" s="13">
        <v>5</v>
      </c>
      <c r="R103" s="13">
        <v>5</v>
      </c>
      <c r="S103" s="13">
        <v>5</v>
      </c>
      <c r="T103" s="13">
        <v>5</v>
      </c>
      <c r="U103" s="13">
        <v>5</v>
      </c>
      <c r="V103" s="13">
        <v>5</v>
      </c>
      <c r="W103" s="13">
        <v>5</v>
      </c>
      <c r="X103" s="13">
        <v>5</v>
      </c>
      <c r="Y103" s="13">
        <v>5</v>
      </c>
      <c r="Z103" s="13">
        <v>5</v>
      </c>
      <c r="AA103" s="13">
        <v>5</v>
      </c>
      <c r="AB103" s="13">
        <v>5</v>
      </c>
      <c r="AC103" s="13">
        <v>5</v>
      </c>
      <c r="AD103" s="13">
        <v>5</v>
      </c>
      <c r="AE103" s="13">
        <v>0</v>
      </c>
      <c r="AF103" s="13">
        <v>0</v>
      </c>
      <c r="AG103" s="13">
        <v>0</v>
      </c>
      <c r="AH103" s="13">
        <v>0</v>
      </c>
      <c r="AI103" s="13">
        <v>0</v>
      </c>
      <c r="AJ103" s="13">
        <v>0</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row>
    <row r="104" spans="1:53" ht="12" customHeight="1">
      <c r="A104" s="13" t="s">
        <v>694</v>
      </c>
      <c r="B104" s="13" t="s">
        <v>703</v>
      </c>
      <c r="C104" s="35" t="str">
        <f t="shared" si="23"/>
        <v>an</v>
      </c>
      <c r="D104" s="13" t="s">
        <v>77</v>
      </c>
      <c r="E104" s="15" t="s">
        <v>151</v>
      </c>
      <c r="F104" s="39"/>
      <c r="G104" s="50">
        <v>0</v>
      </c>
      <c r="H104" s="50">
        <v>7</v>
      </c>
      <c r="I104" s="50">
        <v>0</v>
      </c>
      <c r="J104" s="50">
        <v>0</v>
      </c>
      <c r="K104" s="50">
        <v>0</v>
      </c>
      <c r="L104" s="50">
        <v>0</v>
      </c>
      <c r="M104" s="50">
        <v>8</v>
      </c>
      <c r="N104" s="13">
        <v>0</v>
      </c>
      <c r="O104" s="13">
        <v>0</v>
      </c>
      <c r="P104" s="13">
        <v>0</v>
      </c>
      <c r="V104" s="13">
        <v>6</v>
      </c>
      <c r="AF104" s="13">
        <v>12</v>
      </c>
      <c r="AL104" s="13">
        <v>32</v>
      </c>
      <c r="AM104" s="13">
        <v>32</v>
      </c>
      <c r="AN104" s="13">
        <v>0</v>
      </c>
      <c r="AO104" s="13">
        <v>0</v>
      </c>
      <c r="AP104" s="13">
        <v>0</v>
      </c>
      <c r="AQ104" s="13">
        <v>0</v>
      </c>
      <c r="AR104" s="13">
        <v>0</v>
      </c>
      <c r="AS104" s="13">
        <v>0</v>
      </c>
      <c r="AT104" s="13">
        <v>0</v>
      </c>
      <c r="AU104" s="13">
        <v>0</v>
      </c>
      <c r="AV104" s="13">
        <v>0</v>
      </c>
      <c r="AW104" s="13">
        <v>0</v>
      </c>
      <c r="AX104" s="13">
        <v>0</v>
      </c>
      <c r="AY104" s="13">
        <v>0</v>
      </c>
      <c r="AZ104" s="13">
        <v>0</v>
      </c>
      <c r="BA104" s="13">
        <v>0</v>
      </c>
    </row>
    <row r="105" spans="1:17" ht="12" customHeight="1">
      <c r="A105" s="13" t="s">
        <v>694</v>
      </c>
      <c r="B105" s="13" t="s">
        <v>703</v>
      </c>
      <c r="D105" s="13" t="s">
        <v>77</v>
      </c>
      <c r="E105" s="15" t="s">
        <v>827</v>
      </c>
      <c r="F105" s="15" t="s">
        <v>828</v>
      </c>
      <c r="G105" s="141"/>
      <c r="H105" s="141"/>
      <c r="I105" s="141"/>
      <c r="J105" s="141"/>
      <c r="K105" s="141"/>
      <c r="L105" s="141"/>
      <c r="M105" s="141"/>
      <c r="P105" s="13">
        <v>5</v>
      </c>
      <c r="Q105" s="13">
        <v>8</v>
      </c>
    </row>
    <row r="106" spans="1:53" ht="12" customHeight="1">
      <c r="A106" s="45" t="str">
        <f>A103</f>
        <v>svc</v>
      </c>
      <c r="B106" s="57" t="s">
        <v>703</v>
      </c>
      <c r="C106" s="45" t="str">
        <f aca="true" t="shared" si="29" ref="C106:C119">B106&amp;IF(LEFT(E106,5)="TOTAL","T","")</f>
        <v>anT</v>
      </c>
      <c r="D106" s="70" t="str">
        <f>D103</f>
        <v>WChambers</v>
      </c>
      <c r="E106" s="47" t="str">
        <f>"TOTAL Avail: "&amp;D106</f>
        <v>TOTAL Avail: WChambers</v>
      </c>
      <c r="F106" s="49"/>
      <c r="G106" s="51" t="str">
        <f aca="true" t="shared" si="30" ref="G106:L106">32-SUM(G98:G104)</f>
        <v>-3</v>
      </c>
      <c r="H106" s="51" t="str">
        <f t="shared" si="30"/>
        <v>-10</v>
      </c>
      <c r="I106" s="51" t="str">
        <f t="shared" si="30"/>
        <v>2</v>
      </c>
      <c r="J106" s="51" t="str">
        <f t="shared" si="30"/>
        <v>0</v>
      </c>
      <c r="K106" s="51" t="str">
        <f t="shared" si="30"/>
        <v>0</v>
      </c>
      <c r="L106" s="51" t="str">
        <f t="shared" si="30"/>
        <v>0</v>
      </c>
      <c r="M106" s="51" t="str">
        <f aca="true" t="shared" si="31" ref="M106:BA106">32-SUM(M98:M105)</f>
        <v>-3</v>
      </c>
      <c r="N106" s="51" t="str">
        <f t="shared" si="31"/>
        <v>-2</v>
      </c>
      <c r="O106" s="51" t="str">
        <f t="shared" si="31"/>
        <v>-5</v>
      </c>
      <c r="P106" s="51" t="str">
        <f t="shared" si="31"/>
        <v>-5</v>
      </c>
      <c r="Q106" s="51" t="str">
        <f t="shared" si="31"/>
        <v>-8</v>
      </c>
      <c r="R106" s="51" t="str">
        <f t="shared" si="31"/>
        <v>0</v>
      </c>
      <c r="S106" s="51" t="str">
        <f t="shared" si="31"/>
        <v>0</v>
      </c>
      <c r="T106" s="51" t="str">
        <f t="shared" si="31"/>
        <v>0</v>
      </c>
      <c r="U106" s="51" t="str">
        <f t="shared" si="31"/>
        <v>0</v>
      </c>
      <c r="V106" s="51" t="str">
        <f t="shared" si="31"/>
        <v>-1</v>
      </c>
      <c r="W106" s="51" t="str">
        <f t="shared" si="31"/>
        <v>5</v>
      </c>
      <c r="X106" s="51" t="str">
        <f t="shared" si="31"/>
        <v>-3</v>
      </c>
      <c r="Y106" s="51" t="str">
        <f t="shared" si="31"/>
        <v>2</v>
      </c>
      <c r="Z106" s="51" t="str">
        <f t="shared" si="31"/>
        <v>5</v>
      </c>
      <c r="AA106" s="51" t="str">
        <f t="shared" si="31"/>
        <v>5</v>
      </c>
      <c r="AB106" s="51" t="str">
        <f t="shared" si="31"/>
        <v>-5</v>
      </c>
      <c r="AC106" s="51" t="str">
        <f t="shared" si="31"/>
        <v>-5</v>
      </c>
      <c r="AD106" s="51" t="str">
        <f t="shared" si="31"/>
        <v>-5</v>
      </c>
      <c r="AE106" s="51" t="str">
        <f t="shared" si="31"/>
        <v>0</v>
      </c>
      <c r="AF106" s="51" t="str">
        <f t="shared" si="31"/>
        <v>-12</v>
      </c>
      <c r="AG106" s="51" t="str">
        <f t="shared" si="31"/>
        <v>0</v>
      </c>
      <c r="AH106" s="51" t="str">
        <f t="shared" si="31"/>
        <v>0</v>
      </c>
      <c r="AI106" s="51" t="str">
        <f t="shared" si="31"/>
        <v>0</v>
      </c>
      <c r="AJ106" s="51" t="str">
        <f t="shared" si="31"/>
        <v>0</v>
      </c>
      <c r="AK106" s="51" t="str">
        <f t="shared" si="31"/>
        <v>0</v>
      </c>
      <c r="AL106" s="51" t="str">
        <f t="shared" si="31"/>
        <v>-2</v>
      </c>
      <c r="AM106" s="51" t="str">
        <f t="shared" si="31"/>
        <v>-2</v>
      </c>
      <c r="AN106" s="51" t="str">
        <f t="shared" si="31"/>
        <v>10</v>
      </c>
      <c r="AO106" s="51" t="str">
        <f t="shared" si="31"/>
        <v>10</v>
      </c>
      <c r="AP106" s="51" t="str">
        <f t="shared" si="31"/>
        <v>10</v>
      </c>
      <c r="AQ106" s="51" t="str">
        <f t="shared" si="31"/>
        <v>10</v>
      </c>
      <c r="AR106" s="51" t="str">
        <f t="shared" si="31"/>
        <v>10</v>
      </c>
      <c r="AS106" s="51" t="str">
        <f t="shared" si="31"/>
        <v>10</v>
      </c>
      <c r="AT106" s="51" t="str">
        <f t="shared" si="31"/>
        <v>10</v>
      </c>
      <c r="AU106" s="51" t="str">
        <f t="shared" si="31"/>
        <v>10</v>
      </c>
      <c r="AV106" s="51" t="str">
        <f t="shared" si="31"/>
        <v>10</v>
      </c>
      <c r="AW106" s="51" t="str">
        <f t="shared" si="31"/>
        <v>10</v>
      </c>
      <c r="AX106" s="51" t="str">
        <f t="shared" si="31"/>
        <v>10</v>
      </c>
      <c r="AY106" s="51" t="str">
        <f t="shared" si="31"/>
        <v>10</v>
      </c>
      <c r="AZ106" s="51" t="str">
        <f t="shared" si="31"/>
        <v>10</v>
      </c>
      <c r="BA106" s="51" t="str">
        <f t="shared" si="31"/>
        <v>32</v>
      </c>
    </row>
    <row r="107" spans="1:35" ht="12" customHeight="1">
      <c r="A107" s="13" t="s">
        <v>694</v>
      </c>
      <c r="B107" s="13" t="s">
        <v>256</v>
      </c>
      <c r="C107" s="35" t="str">
        <f t="shared" si="29"/>
        <v>ux</v>
      </c>
      <c r="D107" s="13" t="s">
        <v>79</v>
      </c>
      <c r="E107" s="13" t="s">
        <v>666</v>
      </c>
      <c r="F107" s="13" t="s">
        <v>831</v>
      </c>
      <c r="G107" s="15">
        <v>6</v>
      </c>
      <c r="H107" s="15">
        <v>0</v>
      </c>
      <c r="I107" s="15">
        <v>0</v>
      </c>
      <c r="J107" s="15">
        <v>6</v>
      </c>
      <c r="K107" s="15">
        <v>6</v>
      </c>
      <c r="L107" s="15">
        <v>6</v>
      </c>
      <c r="M107" s="15">
        <v>6</v>
      </c>
      <c r="R107" s="13">
        <v>16</v>
      </c>
      <c r="S107" s="13">
        <v>14</v>
      </c>
      <c r="T107" s="13">
        <v>12</v>
      </c>
      <c r="U107" s="13">
        <v>10</v>
      </c>
      <c r="V107" s="13">
        <v>8</v>
      </c>
      <c r="W107" s="13">
        <v>6</v>
      </c>
      <c r="X107" s="13">
        <v>8</v>
      </c>
      <c r="AD107" s="13">
        <v>0</v>
      </c>
      <c r="AE107" s="13">
        <v>10</v>
      </c>
      <c r="AF107" s="13">
        <v>10</v>
      </c>
      <c r="AG107" s="13">
        <v>2</v>
      </c>
      <c r="AH107" s="13">
        <v>2</v>
      </c>
      <c r="AI107" s="13">
        <v>2</v>
      </c>
    </row>
    <row r="108" spans="1:37" ht="12" customHeight="1">
      <c r="A108" s="13" t="s">
        <v>694</v>
      </c>
      <c r="B108" s="13" t="s">
        <v>256</v>
      </c>
      <c r="C108" s="35" t="str">
        <f t="shared" si="29"/>
        <v>ux</v>
      </c>
      <c r="D108" s="13" t="s">
        <v>79</v>
      </c>
      <c r="E108" s="13" t="s">
        <v>496</v>
      </c>
      <c r="F108" s="13" t="s">
        <v>746</v>
      </c>
      <c r="G108" s="15">
        <v>0</v>
      </c>
      <c r="H108" s="15">
        <v>0</v>
      </c>
      <c r="I108" s="15">
        <v>0</v>
      </c>
      <c r="J108" s="15">
        <v>0</v>
      </c>
      <c r="K108" s="15">
        <v>0</v>
      </c>
      <c r="L108" s="15">
        <v>0</v>
      </c>
      <c r="M108" s="15">
        <v>0</v>
      </c>
      <c r="AJ108" s="13">
        <v>12</v>
      </c>
      <c r="AK108" s="13">
        <v>12</v>
      </c>
    </row>
    <row r="109" spans="1:37" ht="12" customHeight="1">
      <c r="A109" s="13" t="s">
        <v>694</v>
      </c>
      <c r="B109" s="13" t="s">
        <v>256</v>
      </c>
      <c r="C109" s="35" t="str">
        <f t="shared" si="29"/>
        <v>ux</v>
      </c>
      <c r="D109" s="13" t="s">
        <v>79</v>
      </c>
      <c r="E109" s="13" t="s">
        <v>149</v>
      </c>
      <c r="F109" s="92" t="s">
        <v>277</v>
      </c>
      <c r="G109" s="39"/>
      <c r="H109" s="39"/>
      <c r="I109" s="39"/>
      <c r="J109" s="39"/>
      <c r="K109" s="39"/>
      <c r="L109" s="39"/>
      <c r="M109" s="39"/>
      <c r="Q109" s="13">
        <v>8</v>
      </c>
      <c r="T109" s="13">
        <v>6</v>
      </c>
      <c r="U109" s="13">
        <v>2</v>
      </c>
      <c r="V109" s="13">
        <v>4</v>
      </c>
      <c r="W109" s="13">
        <v>2</v>
      </c>
      <c r="X109" s="13">
        <v>2</v>
      </c>
      <c r="AA109" s="13">
        <v>6</v>
      </c>
      <c r="AC109" s="13">
        <v>8</v>
      </c>
      <c r="AD109" s="13">
        <v>4</v>
      </c>
      <c r="AE109" s="13">
        <v>4</v>
      </c>
      <c r="AF109" s="13">
        <v>4</v>
      </c>
      <c r="AG109" s="13">
        <v>6</v>
      </c>
      <c r="AH109" s="13">
        <v>0</v>
      </c>
      <c r="AI109" s="13">
        <v>12</v>
      </c>
      <c r="AJ109" s="13">
        <v>8</v>
      </c>
      <c r="AK109" s="13">
        <v>8</v>
      </c>
    </row>
    <row r="110" spans="1:35" ht="12" customHeight="1">
      <c r="A110" s="13" t="s">
        <v>694</v>
      </c>
      <c r="B110" s="13" t="s">
        <v>256</v>
      </c>
      <c r="C110" s="35" t="str">
        <f t="shared" si="29"/>
        <v>ux</v>
      </c>
      <c r="D110" s="13" t="s">
        <v>79</v>
      </c>
      <c r="E110" s="13" t="s">
        <v>271</v>
      </c>
      <c r="F110" s="13" t="s">
        <v>832</v>
      </c>
      <c r="G110" s="15">
        <v>11</v>
      </c>
      <c r="H110" s="15">
        <v>6</v>
      </c>
      <c r="I110" s="15">
        <v>0</v>
      </c>
      <c r="J110" s="15">
        <v>6</v>
      </c>
      <c r="K110" s="15">
        <v>6</v>
      </c>
      <c r="L110" s="15">
        <v>6</v>
      </c>
      <c r="M110" s="15">
        <v>6</v>
      </c>
      <c r="P110" s="13">
        <v>0</v>
      </c>
      <c r="Q110" s="13">
        <v>0</v>
      </c>
      <c r="R110" s="13">
        <v>10</v>
      </c>
      <c r="S110" s="13">
        <v>10</v>
      </c>
      <c r="U110" s="13">
        <v>0</v>
      </c>
      <c r="X110" s="13">
        <v>2</v>
      </c>
      <c r="Y110" s="13">
        <v>8</v>
      </c>
      <c r="AB110" s="13">
        <v>10</v>
      </c>
      <c r="AC110" s="13">
        <v>8</v>
      </c>
      <c r="AD110" s="13">
        <v>10</v>
      </c>
      <c r="AE110" s="13">
        <v>8</v>
      </c>
      <c r="AF110" s="13">
        <v>4</v>
      </c>
      <c r="AG110" s="13">
        <v>8</v>
      </c>
      <c r="AH110" s="13">
        <v>4</v>
      </c>
      <c r="AI110" s="13">
        <v>8</v>
      </c>
    </row>
    <row r="111" spans="1:47" ht="12" customHeight="1">
      <c r="A111" s="13" t="s">
        <v>694</v>
      </c>
      <c r="B111" s="13" t="s">
        <v>256</v>
      </c>
      <c r="C111" s="35" t="str">
        <f t="shared" si="29"/>
        <v>ux</v>
      </c>
      <c r="D111" s="13" t="s">
        <v>79</v>
      </c>
      <c r="E111" s="13" t="s">
        <v>673</v>
      </c>
      <c r="AK111" s="13">
        <v>1</v>
      </c>
      <c r="AN111" s="13">
        <v>16</v>
      </c>
      <c r="AO111" s="13">
        <v>15</v>
      </c>
      <c r="AP111" s="13">
        <v>13</v>
      </c>
      <c r="AQ111" s="13">
        <v>12</v>
      </c>
      <c r="AR111" s="13">
        <v>11</v>
      </c>
      <c r="AS111" s="13">
        <v>9</v>
      </c>
      <c r="AT111" s="13">
        <v>8</v>
      </c>
      <c r="AU111" s="13">
        <v>7</v>
      </c>
    </row>
    <row r="112" spans="1:41" ht="12" customHeight="1">
      <c r="A112" s="13" t="s">
        <v>694</v>
      </c>
      <c r="B112" s="13" t="s">
        <v>256</v>
      </c>
      <c r="C112" s="35" t="str">
        <f t="shared" si="29"/>
        <v>ux</v>
      </c>
      <c r="D112" s="13" t="s">
        <v>79</v>
      </c>
      <c r="E112" s="13" t="s">
        <v>285</v>
      </c>
      <c r="F112" s="13" t="s">
        <v>833</v>
      </c>
      <c r="O112" s="13">
        <v>0</v>
      </c>
      <c r="P112" s="15">
        <v>0</v>
      </c>
      <c r="Q112" s="39"/>
      <c r="R112" s="15">
        <v>0</v>
      </c>
      <c r="S112" s="15">
        <v>3</v>
      </c>
      <c r="T112" s="13">
        <v>2</v>
      </c>
      <c r="W112" s="13">
        <v>2</v>
      </c>
      <c r="X112" s="13">
        <v>2</v>
      </c>
      <c r="Y112" s="13">
        <v>2</v>
      </c>
      <c r="Z112" s="13">
        <v>8</v>
      </c>
      <c r="AA112" s="13">
        <v>8</v>
      </c>
      <c r="AB112" s="13">
        <v>8</v>
      </c>
      <c r="AC112" s="13">
        <v>6</v>
      </c>
      <c r="AD112" s="13">
        <v>6</v>
      </c>
      <c r="AE112" s="13">
        <v>6</v>
      </c>
      <c r="AF112" s="13">
        <v>6</v>
      </c>
      <c r="AG112" s="13">
        <v>6</v>
      </c>
      <c r="AH112" s="13">
        <v>6</v>
      </c>
      <c r="AI112" s="13">
        <v>6</v>
      </c>
      <c r="AJ112" s="13">
        <v>6</v>
      </c>
      <c r="AK112" s="13">
        <v>6</v>
      </c>
      <c r="AN112" s="13">
        <v>6</v>
      </c>
      <c r="AO112" s="13">
        <v>6</v>
      </c>
    </row>
    <row r="113" spans="1:13" ht="12" customHeight="1">
      <c r="A113" s="13" t="s">
        <v>694</v>
      </c>
      <c r="B113" s="13" t="s">
        <v>256</v>
      </c>
      <c r="C113" s="35" t="str">
        <f t="shared" si="29"/>
        <v>ux</v>
      </c>
      <c r="D113" s="13" t="s">
        <v>79</v>
      </c>
      <c r="E113" s="13" t="s">
        <v>748</v>
      </c>
      <c r="F113" s="13" t="s">
        <v>749</v>
      </c>
      <c r="G113" s="15">
        <v>2</v>
      </c>
      <c r="H113" s="15">
        <v>2</v>
      </c>
      <c r="I113" s="15">
        <v>0</v>
      </c>
      <c r="J113" s="15">
        <v>2</v>
      </c>
      <c r="K113" s="15">
        <v>2</v>
      </c>
      <c r="L113" s="15">
        <v>2</v>
      </c>
      <c r="M113" s="15">
        <v>2</v>
      </c>
    </row>
    <row r="114" spans="1:29" ht="12" customHeight="1">
      <c r="A114" s="13" t="s">
        <v>694</v>
      </c>
      <c r="B114" s="13" t="s">
        <v>256</v>
      </c>
      <c r="C114" s="35" t="str">
        <f t="shared" si="29"/>
        <v>ux</v>
      </c>
      <c r="D114" s="13" t="s">
        <v>79</v>
      </c>
      <c r="E114" s="13" t="s">
        <v>729</v>
      </c>
      <c r="F114" s="13" t="s">
        <v>834</v>
      </c>
      <c r="G114" s="39"/>
      <c r="H114" s="39"/>
      <c r="I114" s="39"/>
      <c r="J114" s="39"/>
      <c r="K114" s="39"/>
      <c r="L114" s="39"/>
      <c r="M114" s="39"/>
      <c r="O114" s="13">
        <v>8</v>
      </c>
      <c r="P114" s="13">
        <v>8</v>
      </c>
      <c r="Q114" s="13">
        <v>4</v>
      </c>
      <c r="R114" s="13">
        <v>2</v>
      </c>
      <c r="S114" s="13">
        <v>4</v>
      </c>
      <c r="T114" s="13">
        <v>4</v>
      </c>
      <c r="U114" s="13">
        <v>2</v>
      </c>
      <c r="W114" s="13">
        <v>2</v>
      </c>
      <c r="Y114" s="13">
        <v>2</v>
      </c>
      <c r="AC114" s="13">
        <v>2</v>
      </c>
    </row>
    <row r="115" spans="1:53" ht="12" customHeight="1">
      <c r="A115" s="13" t="s">
        <v>694</v>
      </c>
      <c r="B115" s="13" t="s">
        <v>805</v>
      </c>
      <c r="C115" s="35" t="str">
        <f t="shared" si="29"/>
        <v>oth</v>
      </c>
      <c r="D115" s="13" t="s">
        <v>79</v>
      </c>
      <c r="E115" s="13" t="s">
        <v>258</v>
      </c>
      <c r="F115" s="13" t="s">
        <v>259</v>
      </c>
      <c r="G115" s="15">
        <v>9</v>
      </c>
      <c r="H115" s="15">
        <v>4</v>
      </c>
      <c r="I115" s="15">
        <v>0</v>
      </c>
      <c r="J115" s="15">
        <v>0</v>
      </c>
      <c r="K115" s="15">
        <v>4</v>
      </c>
      <c r="L115" s="15">
        <v>4</v>
      </c>
      <c r="M115" s="15">
        <v>4</v>
      </c>
      <c r="P115" s="13">
        <v>2</v>
      </c>
      <c r="Q115" s="13">
        <v>3</v>
      </c>
      <c r="T115" s="13">
        <v>6</v>
      </c>
      <c r="U115" s="13">
        <v>6</v>
      </c>
      <c r="V115" s="13">
        <v>6</v>
      </c>
      <c r="W115" s="13">
        <v>6</v>
      </c>
      <c r="X115" s="13">
        <v>6</v>
      </c>
      <c r="Y115" s="13">
        <v>6</v>
      </c>
      <c r="Z115" s="13">
        <v>1</v>
      </c>
      <c r="AA115" s="13">
        <v>6</v>
      </c>
      <c r="AB115" s="13">
        <v>2</v>
      </c>
      <c r="AC115" s="13">
        <v>3</v>
      </c>
      <c r="AD115" s="13">
        <v>3</v>
      </c>
      <c r="AE115" s="13">
        <v>3</v>
      </c>
      <c r="AF115" s="13">
        <v>3</v>
      </c>
      <c r="AG115" s="13">
        <v>3</v>
      </c>
      <c r="AH115" s="13">
        <v>3</v>
      </c>
      <c r="AI115" s="13">
        <v>3</v>
      </c>
      <c r="AJ115" s="13">
        <v>3</v>
      </c>
      <c r="AK115" s="13">
        <v>3</v>
      </c>
      <c r="AN115" s="13">
        <v>3</v>
      </c>
      <c r="AO115" s="13">
        <v>3</v>
      </c>
      <c r="AP115" s="13">
        <v>3</v>
      </c>
      <c r="AQ115" s="13">
        <v>3</v>
      </c>
      <c r="AR115" s="13">
        <v>3</v>
      </c>
      <c r="AS115" s="13">
        <v>3</v>
      </c>
      <c r="AT115" s="13">
        <v>3</v>
      </c>
      <c r="AU115" s="13">
        <v>3</v>
      </c>
      <c r="AV115" s="13">
        <v>3</v>
      </c>
      <c r="AW115" s="13">
        <v>3</v>
      </c>
      <c r="AX115" s="13">
        <v>3</v>
      </c>
      <c r="AY115" s="13">
        <v>3</v>
      </c>
      <c r="AZ115" s="13">
        <v>3</v>
      </c>
      <c r="BA115" s="13">
        <v>3</v>
      </c>
    </row>
    <row r="116" spans="1:53" ht="12" customHeight="1">
      <c r="A116" s="13" t="s">
        <v>694</v>
      </c>
      <c r="B116" s="13" t="s">
        <v>805</v>
      </c>
      <c r="C116" s="35" t="str">
        <f t="shared" si="29"/>
        <v>oth</v>
      </c>
      <c r="D116" s="13" t="s">
        <v>79</v>
      </c>
      <c r="E116" s="13" t="s">
        <v>276</v>
      </c>
      <c r="F116" s="13" t="s">
        <v>259</v>
      </c>
      <c r="G116" s="39"/>
      <c r="H116" s="39"/>
      <c r="I116" s="39"/>
      <c r="J116" s="39"/>
      <c r="K116" s="39"/>
      <c r="L116" s="39"/>
      <c r="P116" s="13">
        <v>4</v>
      </c>
      <c r="Q116" s="13">
        <v>5</v>
      </c>
      <c r="T116" s="13">
        <v>6</v>
      </c>
      <c r="U116" s="13">
        <v>10</v>
      </c>
      <c r="V116" s="13">
        <v>8</v>
      </c>
      <c r="W116" s="13">
        <v>10</v>
      </c>
      <c r="X116" s="13">
        <v>6</v>
      </c>
      <c r="Y116" s="13">
        <v>6</v>
      </c>
      <c r="Z116" s="13">
        <v>1</v>
      </c>
      <c r="AA116" s="13">
        <v>6</v>
      </c>
      <c r="AB116" s="13">
        <v>6</v>
      </c>
      <c r="AC116" s="13">
        <v>3</v>
      </c>
      <c r="AD116" s="13">
        <v>3</v>
      </c>
      <c r="AE116" s="13">
        <v>3</v>
      </c>
      <c r="AF116" s="13">
        <v>3</v>
      </c>
      <c r="AG116" s="13">
        <v>3</v>
      </c>
      <c r="AH116" s="13">
        <v>3</v>
      </c>
      <c r="AI116" s="13">
        <v>3</v>
      </c>
      <c r="AJ116" s="13">
        <v>3</v>
      </c>
      <c r="AK116" s="13">
        <v>3</v>
      </c>
      <c r="AN116" s="13">
        <v>3</v>
      </c>
      <c r="AO116" s="13">
        <v>3</v>
      </c>
      <c r="AP116" s="13">
        <v>3</v>
      </c>
      <c r="AQ116" s="13">
        <v>3</v>
      </c>
      <c r="AR116" s="13">
        <v>3</v>
      </c>
      <c r="AS116" s="13">
        <v>3</v>
      </c>
      <c r="AT116" s="13">
        <v>3</v>
      </c>
      <c r="AU116" s="13">
        <v>3</v>
      </c>
      <c r="AV116" s="13">
        <v>3</v>
      </c>
      <c r="AW116" s="13">
        <v>3</v>
      </c>
      <c r="AX116" s="13">
        <v>3</v>
      </c>
      <c r="AY116" s="13">
        <v>3</v>
      </c>
      <c r="AZ116" s="13">
        <v>3</v>
      </c>
      <c r="BA116" s="13">
        <v>3</v>
      </c>
    </row>
    <row r="117" spans="1:53" ht="12" customHeight="1">
      <c r="A117" s="13" t="s">
        <v>694</v>
      </c>
      <c r="B117" s="13" t="s">
        <v>805</v>
      </c>
      <c r="C117" s="35" t="str">
        <f t="shared" si="29"/>
        <v>oth</v>
      </c>
      <c r="D117" s="13" t="s">
        <v>79</v>
      </c>
      <c r="E117" s="13" t="s">
        <v>269</v>
      </c>
      <c r="F117" s="13" t="s">
        <v>259</v>
      </c>
      <c r="G117" s="39"/>
      <c r="H117" s="39"/>
      <c r="I117" s="39"/>
      <c r="J117" s="39"/>
      <c r="K117" s="39"/>
      <c r="L117" s="39"/>
      <c r="P117" s="13">
        <v>4</v>
      </c>
      <c r="Q117" s="13">
        <v>5</v>
      </c>
      <c r="T117" s="13">
        <v>6</v>
      </c>
      <c r="U117" s="13">
        <v>10</v>
      </c>
      <c r="V117" s="13">
        <v>8</v>
      </c>
      <c r="W117" s="13">
        <v>10</v>
      </c>
      <c r="X117" s="13">
        <v>6</v>
      </c>
      <c r="Y117" s="13">
        <v>6</v>
      </c>
      <c r="Z117" s="13">
        <v>1</v>
      </c>
      <c r="AA117" s="13">
        <v>6</v>
      </c>
      <c r="AB117" s="13">
        <v>6</v>
      </c>
      <c r="AC117" s="13">
        <v>3</v>
      </c>
      <c r="AD117" s="13">
        <v>3</v>
      </c>
      <c r="AE117" s="13">
        <v>3</v>
      </c>
      <c r="AF117" s="13">
        <v>3</v>
      </c>
      <c r="AG117" s="13">
        <v>3</v>
      </c>
      <c r="AH117" s="13">
        <v>3</v>
      </c>
      <c r="AI117" s="13">
        <v>3</v>
      </c>
      <c r="AJ117" s="13">
        <v>3</v>
      </c>
      <c r="AK117" s="13">
        <v>3</v>
      </c>
      <c r="AQ117" s="13">
        <v>3</v>
      </c>
      <c r="AR117" s="13">
        <v>3</v>
      </c>
      <c r="AS117" s="13">
        <v>3</v>
      </c>
      <c r="AT117" s="13">
        <v>3</v>
      </c>
      <c r="AU117" s="13">
        <v>3</v>
      </c>
      <c r="AV117" s="13">
        <v>3</v>
      </c>
      <c r="AW117" s="13">
        <v>3</v>
      </c>
      <c r="AX117" s="13">
        <v>3</v>
      </c>
      <c r="AY117" s="13">
        <v>3</v>
      </c>
      <c r="AZ117" s="13">
        <v>3</v>
      </c>
      <c r="BA117" s="13">
        <v>3</v>
      </c>
    </row>
    <row r="118" spans="1:53" ht="12" customHeight="1">
      <c r="A118" s="13" t="s">
        <v>694</v>
      </c>
      <c r="B118" s="13" t="s">
        <v>256</v>
      </c>
      <c r="C118" s="35" t="str">
        <f t="shared" si="29"/>
        <v>ux</v>
      </c>
      <c r="D118" s="13" t="s">
        <v>79</v>
      </c>
      <c r="E118" s="15" t="s">
        <v>151</v>
      </c>
      <c r="F118" s="39"/>
      <c r="G118" s="50">
        <v>0</v>
      </c>
      <c r="H118" s="50">
        <v>7</v>
      </c>
      <c r="I118" s="50">
        <v>32</v>
      </c>
      <c r="J118" s="50">
        <v>0</v>
      </c>
      <c r="K118" s="50">
        <v>0</v>
      </c>
      <c r="L118" s="50">
        <v>0</v>
      </c>
      <c r="M118" s="13">
        <v>20</v>
      </c>
      <c r="P118" s="13">
        <v>6</v>
      </c>
      <c r="Q118" s="13">
        <v>6</v>
      </c>
      <c r="R118" s="13">
        <v>6</v>
      </c>
      <c r="S118" s="13">
        <v>6</v>
      </c>
      <c r="T118" s="13">
        <v>6</v>
      </c>
      <c r="U118" s="13">
        <v>6</v>
      </c>
      <c r="V118" s="13">
        <v>12</v>
      </c>
      <c r="W118" s="13">
        <v>6</v>
      </c>
      <c r="X118" s="13">
        <v>6</v>
      </c>
      <c r="Y118" s="13">
        <v>12</v>
      </c>
      <c r="Z118" s="13">
        <v>6</v>
      </c>
      <c r="AA118" s="13">
        <v>6</v>
      </c>
      <c r="AB118" s="13">
        <v>6</v>
      </c>
      <c r="AC118" s="13">
        <v>6</v>
      </c>
      <c r="AD118" s="13">
        <v>6</v>
      </c>
      <c r="AE118" s="13">
        <v>6</v>
      </c>
      <c r="AF118" s="13">
        <v>6</v>
      </c>
      <c r="AG118" s="13">
        <v>6</v>
      </c>
      <c r="AH118" s="13">
        <v>18</v>
      </c>
      <c r="AI118" s="13">
        <v>12</v>
      </c>
      <c r="AJ118" s="13">
        <v>12</v>
      </c>
      <c r="AK118" s="13">
        <v>6</v>
      </c>
      <c r="AL118" s="13">
        <v>32</v>
      </c>
      <c r="AM118" s="13">
        <v>32</v>
      </c>
      <c r="AN118" s="13">
        <v>6</v>
      </c>
      <c r="AO118" s="13">
        <v>6</v>
      </c>
      <c r="AP118" s="13">
        <v>6</v>
      </c>
      <c r="AQ118" s="13">
        <v>6</v>
      </c>
      <c r="AR118" s="13">
        <v>6</v>
      </c>
      <c r="AS118" s="13">
        <v>6</v>
      </c>
      <c r="AT118" s="13">
        <v>6</v>
      </c>
      <c r="AU118" s="13">
        <v>6</v>
      </c>
      <c r="AV118" s="13">
        <v>6</v>
      </c>
      <c r="AW118" s="13">
        <v>6</v>
      </c>
      <c r="AX118" s="13">
        <v>6</v>
      </c>
      <c r="AY118" s="13">
        <v>6</v>
      </c>
      <c r="AZ118" s="13">
        <v>6</v>
      </c>
      <c r="BA118" s="13">
        <v>6</v>
      </c>
    </row>
    <row r="119" spans="1:53" ht="12" customHeight="1">
      <c r="A119" s="45" t="str">
        <f>A107</f>
        <v>svc</v>
      </c>
      <c r="B119" s="57" t="s">
        <v>256</v>
      </c>
      <c r="C119" s="45" t="str">
        <f t="shared" si="29"/>
        <v>uxT</v>
      </c>
      <c r="D119" s="70" t="str">
        <f>D107</f>
        <v>HNemann</v>
      </c>
      <c r="E119" s="47" t="str">
        <f>"TOTAL Avail: "&amp;D119</f>
        <v>TOTAL Avail: HNemann</v>
      </c>
      <c r="F119" s="49"/>
      <c r="G119" s="51" t="str">
        <f aca="true" t="shared" si="32" ref="G119:BA119">32-SUM(G107:G118)</f>
        <v>4</v>
      </c>
      <c r="H119" s="51" t="str">
        <f t="shared" si="32"/>
        <v>13</v>
      </c>
      <c r="I119" s="51" t="str">
        <f t="shared" si="32"/>
        <v>0</v>
      </c>
      <c r="J119" s="51" t="str">
        <f t="shared" si="32"/>
        <v>18</v>
      </c>
      <c r="K119" s="51" t="str">
        <f t="shared" si="32"/>
        <v>14</v>
      </c>
      <c r="L119" s="51" t="str">
        <f t="shared" si="32"/>
        <v>14</v>
      </c>
      <c r="M119" s="51" t="str">
        <f t="shared" si="32"/>
        <v>-6</v>
      </c>
      <c r="N119" s="51" t="str">
        <f t="shared" si="32"/>
        <v>32</v>
      </c>
      <c r="O119" s="51" t="str">
        <f t="shared" si="32"/>
        <v>24</v>
      </c>
      <c r="P119" s="51" t="str">
        <f t="shared" si="32"/>
        <v>8</v>
      </c>
      <c r="Q119" s="51" t="str">
        <f t="shared" si="32"/>
        <v>1</v>
      </c>
      <c r="R119" s="51" t="str">
        <f t="shared" si="32"/>
        <v>-2</v>
      </c>
      <c r="S119" s="51" t="str">
        <f t="shared" si="32"/>
        <v>-5</v>
      </c>
      <c r="T119" s="51" t="str">
        <f t="shared" si="32"/>
        <v>-16</v>
      </c>
      <c r="U119" s="51" t="str">
        <f t="shared" si="32"/>
        <v>-14</v>
      </c>
      <c r="V119" s="51" t="str">
        <f t="shared" si="32"/>
        <v>-14</v>
      </c>
      <c r="W119" s="51" t="str">
        <f t="shared" si="32"/>
        <v>-12</v>
      </c>
      <c r="X119" s="51" t="str">
        <f t="shared" si="32"/>
        <v>-6</v>
      </c>
      <c r="Y119" s="51" t="str">
        <f t="shared" si="32"/>
        <v>-10</v>
      </c>
      <c r="Z119" s="51" t="str">
        <f t="shared" si="32"/>
        <v>15</v>
      </c>
      <c r="AA119" s="51" t="str">
        <f t="shared" si="32"/>
        <v>-6</v>
      </c>
      <c r="AB119" s="51" t="str">
        <f t="shared" si="32"/>
        <v>-6</v>
      </c>
      <c r="AC119" s="51" t="str">
        <f t="shared" si="32"/>
        <v>-7</v>
      </c>
      <c r="AD119" s="51" t="str">
        <f t="shared" si="32"/>
        <v>-3</v>
      </c>
      <c r="AE119" s="51" t="str">
        <f t="shared" si="32"/>
        <v>-11</v>
      </c>
      <c r="AF119" s="51" t="str">
        <f t="shared" si="32"/>
        <v>-7</v>
      </c>
      <c r="AG119" s="51" t="str">
        <f t="shared" si="32"/>
        <v>-5</v>
      </c>
      <c r="AH119" s="51" t="str">
        <f t="shared" si="32"/>
        <v>-7</v>
      </c>
      <c r="AI119" s="51" t="str">
        <f t="shared" si="32"/>
        <v>-17</v>
      </c>
      <c r="AJ119" s="51" t="str">
        <f t="shared" si="32"/>
        <v>-15</v>
      </c>
      <c r="AK119" s="51" t="str">
        <f t="shared" si="32"/>
        <v>-10</v>
      </c>
      <c r="AL119" s="51" t="str">
        <f t="shared" si="32"/>
        <v>0</v>
      </c>
      <c r="AM119" s="51" t="str">
        <f t="shared" si="32"/>
        <v>0</v>
      </c>
      <c r="AN119" s="51" t="str">
        <f t="shared" si="32"/>
        <v>-2</v>
      </c>
      <c r="AO119" s="51" t="str">
        <f t="shared" si="32"/>
        <v>-1</v>
      </c>
      <c r="AP119" s="51" t="str">
        <f t="shared" si="32"/>
        <v>7</v>
      </c>
      <c r="AQ119" s="51" t="str">
        <f t="shared" si="32"/>
        <v>5</v>
      </c>
      <c r="AR119" s="51" t="str">
        <f t="shared" si="32"/>
        <v>6</v>
      </c>
      <c r="AS119" s="51" t="str">
        <f t="shared" si="32"/>
        <v>8</v>
      </c>
      <c r="AT119" s="51" t="str">
        <f t="shared" si="32"/>
        <v>9</v>
      </c>
      <c r="AU119" s="51" t="str">
        <f t="shared" si="32"/>
        <v>10</v>
      </c>
      <c r="AV119" s="51" t="str">
        <f t="shared" si="32"/>
        <v>17</v>
      </c>
      <c r="AW119" s="51" t="str">
        <f t="shared" si="32"/>
        <v>17</v>
      </c>
      <c r="AX119" s="51" t="str">
        <f t="shared" si="32"/>
        <v>17</v>
      </c>
      <c r="AY119" s="51" t="str">
        <f t="shared" si="32"/>
        <v>17</v>
      </c>
      <c r="AZ119" s="51" t="str">
        <f t="shared" si="32"/>
        <v>17</v>
      </c>
      <c r="BA119" s="51" t="str">
        <f t="shared" si="32"/>
        <v>17</v>
      </c>
    </row>
    <row r="120" spans="1:30" ht="12" customHeight="1">
      <c r="A120" s="13" t="s">
        <v>694</v>
      </c>
      <c r="B120" s="13" t="s">
        <v>256</v>
      </c>
      <c r="C120" s="13" t="s">
        <v>582</v>
      </c>
      <c r="D120" s="13" t="s">
        <v>223</v>
      </c>
      <c r="E120" s="15" t="s">
        <v>285</v>
      </c>
      <c r="F120" s="13" t="s">
        <v>836</v>
      </c>
      <c r="G120" s="15">
        <v>0</v>
      </c>
      <c r="H120" s="15">
        <v>0</v>
      </c>
      <c r="I120" s="15">
        <v>0</v>
      </c>
      <c r="J120" s="15">
        <v>8</v>
      </c>
      <c r="K120" s="15">
        <v>20</v>
      </c>
      <c r="L120" s="15">
        <v>20</v>
      </c>
      <c r="M120" s="15">
        <v>10</v>
      </c>
      <c r="N120" s="13">
        <v>20</v>
      </c>
      <c r="O120" s="13">
        <v>20</v>
      </c>
      <c r="P120" s="13">
        <v>20</v>
      </c>
      <c r="Q120" s="13">
        <v>30</v>
      </c>
      <c r="R120" s="13">
        <v>50</v>
      </c>
      <c r="S120" s="13">
        <v>50</v>
      </c>
      <c r="T120" s="13">
        <v>50</v>
      </c>
      <c r="U120" s="13">
        <v>25</v>
      </c>
      <c r="V120" s="13">
        <v>8</v>
      </c>
      <c r="W120" s="13">
        <v>8</v>
      </c>
      <c r="X120" s="13">
        <v>12</v>
      </c>
      <c r="Y120" s="13">
        <v>40</v>
      </c>
      <c r="Z120" s="13">
        <v>40</v>
      </c>
      <c r="AA120" s="13">
        <v>10</v>
      </c>
      <c r="AB120" s="13">
        <v>30</v>
      </c>
      <c r="AC120" s="13">
        <v>30</v>
      </c>
      <c r="AD120" s="13">
        <v>30</v>
      </c>
    </row>
    <row r="121" spans="1:31" ht="12" customHeight="1">
      <c r="A121" s="13" t="s">
        <v>694</v>
      </c>
      <c r="B121" s="13" t="s">
        <v>256</v>
      </c>
      <c r="C121" s="13" t="s">
        <v>582</v>
      </c>
      <c r="D121" s="13" t="s">
        <v>756</v>
      </c>
      <c r="E121" s="15" t="s">
        <v>174</v>
      </c>
      <c r="F121" s="13" t="s">
        <v>836</v>
      </c>
      <c r="G121" s="39"/>
      <c r="H121" s="39"/>
      <c r="I121" s="39"/>
      <c r="J121" s="39"/>
      <c r="K121" s="39"/>
      <c r="L121" s="39"/>
      <c r="M121" s="39"/>
      <c r="P121" s="13">
        <v>16</v>
      </c>
      <c r="Q121" s="13">
        <v>4</v>
      </c>
      <c r="R121" s="13">
        <v>2</v>
      </c>
      <c r="X121" s="13">
        <v>20</v>
      </c>
      <c r="AD121" s="13">
        <v>0</v>
      </c>
      <c r="AE121" s="13">
        <v>30</v>
      </c>
    </row>
    <row r="122" spans="1:31" ht="12" customHeight="1">
      <c r="A122" s="13" t="s">
        <v>694</v>
      </c>
      <c r="B122" s="13" t="s">
        <v>256</v>
      </c>
      <c r="C122" s="13" t="s">
        <v>582</v>
      </c>
      <c r="D122" s="13" t="s">
        <v>756</v>
      </c>
      <c r="E122" s="13" t="s">
        <v>149</v>
      </c>
      <c r="F122" s="13" t="s">
        <v>836</v>
      </c>
      <c r="G122" s="39"/>
      <c r="H122" s="39"/>
      <c r="I122" s="39"/>
      <c r="J122" s="39"/>
      <c r="K122" s="39"/>
      <c r="L122" s="39"/>
      <c r="M122" s="39"/>
      <c r="P122" s="13">
        <v>16</v>
      </c>
      <c r="Q122" s="13">
        <v>4</v>
      </c>
      <c r="R122" s="13">
        <v>2</v>
      </c>
      <c r="X122" s="13">
        <v>20</v>
      </c>
      <c r="AD122" s="13">
        <v>10</v>
      </c>
      <c r="AE122" s="13">
        <v>10</v>
      </c>
    </row>
    <row r="123" spans="1:27" ht="12" customHeight="1">
      <c r="A123" s="13" t="s">
        <v>694</v>
      </c>
      <c r="B123" s="13" t="s">
        <v>256</v>
      </c>
      <c r="C123" s="13" t="s">
        <v>582</v>
      </c>
      <c r="D123" s="13" t="s">
        <v>223</v>
      </c>
      <c r="E123" s="15" t="s">
        <v>151</v>
      </c>
      <c r="G123" s="15">
        <v>0</v>
      </c>
      <c r="H123" s="15">
        <v>0</v>
      </c>
      <c r="I123" s="15">
        <v>0</v>
      </c>
      <c r="J123" s="15">
        <v>0</v>
      </c>
      <c r="K123" s="15">
        <v>8</v>
      </c>
      <c r="L123" s="15">
        <v>112</v>
      </c>
      <c r="M123" s="15">
        <v>0</v>
      </c>
      <c r="N123" s="13">
        <v>0</v>
      </c>
      <c r="O123" s="13">
        <v>8</v>
      </c>
      <c r="P123" s="13">
        <v>16</v>
      </c>
      <c r="Q123" s="13">
        <v>40</v>
      </c>
      <c r="R123" s="13">
        <v>24</v>
      </c>
      <c r="S123" s="13">
        <v>8</v>
      </c>
      <c r="T123" s="13">
        <v>40</v>
      </c>
      <c r="U123" s="13">
        <v>40</v>
      </c>
      <c r="V123" s="13">
        <v>16</v>
      </c>
      <c r="W123" s="13">
        <v>60</v>
      </c>
      <c r="Z123" s="13">
        <v>80</v>
      </c>
      <c r="AA123" s="13">
        <v>80</v>
      </c>
    </row>
    <row r="124" spans="1:53" ht="12" customHeight="1">
      <c r="A124" s="3" t="s">
        <v>694</v>
      </c>
      <c r="B124" s="3" t="s">
        <v>256</v>
      </c>
      <c r="C124" s="45" t="str">
        <f aca="true" t="shared" si="33" ref="C124:C132">B124&amp;IF(LEFT(E124,5)="TOTAL","T","")</f>
        <v>uxT</v>
      </c>
      <c r="D124" s="3" t="s">
        <v>223</v>
      </c>
      <c r="E124" s="52" t="s">
        <v>837</v>
      </c>
      <c r="F124" s="10"/>
      <c r="G124" s="52">
        <v>60</v>
      </c>
      <c r="H124" s="52">
        <v>60</v>
      </c>
      <c r="I124" s="52">
        <v>60</v>
      </c>
      <c r="J124" s="52">
        <v>-4</v>
      </c>
      <c r="K124" s="52">
        <v>-8</v>
      </c>
      <c r="L124" s="52">
        <v>-4</v>
      </c>
      <c r="M124" s="52">
        <v>-74</v>
      </c>
      <c r="N124" s="3">
        <v>-74</v>
      </c>
      <c r="O124" s="3">
        <v>-28</v>
      </c>
      <c r="P124" s="3">
        <v>-52</v>
      </c>
      <c r="Q124" s="3">
        <v>-79</v>
      </c>
      <c r="R124" s="3">
        <v>0</v>
      </c>
      <c r="S124" s="3">
        <v>0</v>
      </c>
      <c r="T124" s="3">
        <v>0</v>
      </c>
      <c r="U124" s="3">
        <v>0</v>
      </c>
      <c r="V124" s="3">
        <v>44</v>
      </c>
      <c r="W124" s="3">
        <v>-4</v>
      </c>
      <c r="X124" s="3">
        <v>1</v>
      </c>
      <c r="Y124" s="3">
        <v>0</v>
      </c>
      <c r="Z124" s="3">
        <v>0</v>
      </c>
      <c r="AA124" s="3">
        <v>0</v>
      </c>
      <c r="AB124" s="190" t="str">
        <f aca="true" t="shared" si="34" ref="AB124:BA124">30-SUM(AB120:AB123)</f>
        <v>0</v>
      </c>
      <c r="AC124" s="190" t="str">
        <f t="shared" si="34"/>
        <v>0</v>
      </c>
      <c r="AD124" s="190" t="str">
        <f t="shared" si="34"/>
        <v>-10</v>
      </c>
      <c r="AE124" s="190" t="str">
        <f t="shared" si="34"/>
        <v>-10</v>
      </c>
      <c r="AF124" s="190" t="str">
        <f t="shared" si="34"/>
        <v>30</v>
      </c>
      <c r="AG124" s="190" t="str">
        <f t="shared" si="34"/>
        <v>30</v>
      </c>
      <c r="AH124" s="190" t="str">
        <f t="shared" si="34"/>
        <v>30</v>
      </c>
      <c r="AI124" s="190" t="str">
        <f t="shared" si="34"/>
        <v>30</v>
      </c>
      <c r="AJ124" s="190" t="str">
        <f t="shared" si="34"/>
        <v>30</v>
      </c>
      <c r="AK124" s="190" t="str">
        <f t="shared" si="34"/>
        <v>30</v>
      </c>
      <c r="AL124" s="190" t="str">
        <f t="shared" si="34"/>
        <v>30</v>
      </c>
      <c r="AM124" s="190" t="str">
        <f t="shared" si="34"/>
        <v>30</v>
      </c>
      <c r="AN124" s="190" t="str">
        <f t="shared" si="34"/>
        <v>30</v>
      </c>
      <c r="AO124" s="190" t="str">
        <f t="shared" si="34"/>
        <v>30</v>
      </c>
      <c r="AP124" s="190" t="str">
        <f t="shared" si="34"/>
        <v>30</v>
      </c>
      <c r="AQ124" s="190" t="str">
        <f t="shared" si="34"/>
        <v>30</v>
      </c>
      <c r="AR124" s="190" t="str">
        <f t="shared" si="34"/>
        <v>30</v>
      </c>
      <c r="AS124" s="190" t="str">
        <f t="shared" si="34"/>
        <v>30</v>
      </c>
      <c r="AT124" s="190" t="str">
        <f t="shared" si="34"/>
        <v>30</v>
      </c>
      <c r="AU124" s="190" t="str">
        <f t="shared" si="34"/>
        <v>30</v>
      </c>
      <c r="AV124" s="190" t="str">
        <f t="shared" si="34"/>
        <v>30</v>
      </c>
      <c r="AW124" s="190" t="str">
        <f t="shared" si="34"/>
        <v>30</v>
      </c>
      <c r="AX124" s="190" t="str">
        <f t="shared" si="34"/>
        <v>30</v>
      </c>
      <c r="AY124" s="190" t="str">
        <f t="shared" si="34"/>
        <v>30</v>
      </c>
      <c r="AZ124" s="190" t="str">
        <f t="shared" si="34"/>
        <v>30</v>
      </c>
      <c r="BA124" s="190" t="str">
        <f t="shared" si="34"/>
        <v>30</v>
      </c>
    </row>
    <row r="125" spans="1:13" ht="12" customHeight="1">
      <c r="A125" s="13" t="s">
        <v>804</v>
      </c>
      <c r="B125" s="13" t="s">
        <v>527</v>
      </c>
      <c r="C125" s="35" t="str">
        <f t="shared" si="33"/>
        <v>qa</v>
      </c>
      <c r="D125" s="13" t="s">
        <v>81</v>
      </c>
      <c r="E125" s="39"/>
      <c r="G125" s="15">
        <v>0</v>
      </c>
      <c r="H125" s="15">
        <v>0</v>
      </c>
      <c r="I125" s="15">
        <v>0</v>
      </c>
      <c r="J125" s="15">
        <v>0</v>
      </c>
      <c r="K125" s="15">
        <v>0</v>
      </c>
      <c r="L125" s="15">
        <v>0</v>
      </c>
      <c r="M125" s="15">
        <v>0</v>
      </c>
    </row>
    <row r="126" spans="1:53" ht="12" customHeight="1">
      <c r="A126" s="13" t="s">
        <v>804</v>
      </c>
      <c r="B126" s="13" t="s">
        <v>527</v>
      </c>
      <c r="C126" s="35" t="str">
        <f t="shared" si="33"/>
        <v>qa</v>
      </c>
      <c r="D126" s="13" t="s">
        <v>81</v>
      </c>
      <c r="E126" s="13" t="s">
        <v>731</v>
      </c>
      <c r="G126" s="15">
        <v>5</v>
      </c>
      <c r="H126" s="15">
        <v>5</v>
      </c>
      <c r="I126" s="15">
        <v>5</v>
      </c>
      <c r="J126" s="15">
        <v>5</v>
      </c>
      <c r="K126" s="15">
        <v>5</v>
      </c>
      <c r="L126" s="15">
        <v>2</v>
      </c>
      <c r="M126" s="15">
        <v>2</v>
      </c>
      <c r="N126" s="13">
        <v>2</v>
      </c>
      <c r="O126" s="13">
        <v>2</v>
      </c>
      <c r="P126" s="13">
        <v>2</v>
      </c>
      <c r="Q126" s="13">
        <v>2</v>
      </c>
      <c r="R126" s="13">
        <v>2</v>
      </c>
      <c r="S126" s="13">
        <v>2</v>
      </c>
      <c r="T126" s="13">
        <v>2</v>
      </c>
      <c r="U126" s="13">
        <v>2</v>
      </c>
      <c r="V126" s="13">
        <v>2</v>
      </c>
      <c r="W126" s="13">
        <v>2</v>
      </c>
      <c r="X126" s="13">
        <v>2</v>
      </c>
      <c r="Y126" s="13">
        <v>2</v>
      </c>
      <c r="Z126" s="13">
        <v>2</v>
      </c>
      <c r="AA126" s="13">
        <v>2</v>
      </c>
      <c r="AB126" s="13">
        <v>2</v>
      </c>
      <c r="AC126" s="13">
        <v>2</v>
      </c>
      <c r="AD126" s="13">
        <v>2</v>
      </c>
      <c r="AE126" s="13">
        <v>2</v>
      </c>
      <c r="AF126" s="13">
        <v>2</v>
      </c>
      <c r="AG126" s="13" t="s">
        <v>561</v>
      </c>
      <c r="AH126" s="13" t="s">
        <v>561</v>
      </c>
      <c r="AI126" s="13" t="s">
        <v>561</v>
      </c>
      <c r="AJ126" s="13" t="s">
        <v>561</v>
      </c>
      <c r="AK126" s="13" t="s">
        <v>561</v>
      </c>
      <c r="AL126" s="13" t="s">
        <v>561</v>
      </c>
      <c r="AM126" s="13" t="s">
        <v>839</v>
      </c>
      <c r="AN126" s="13" t="s">
        <v>561</v>
      </c>
      <c r="AO126" s="13" t="s">
        <v>561</v>
      </c>
      <c r="AP126" s="13" t="s">
        <v>561</v>
      </c>
      <c r="AQ126" s="13" t="s">
        <v>561</v>
      </c>
      <c r="AR126" s="13" t="s">
        <v>561</v>
      </c>
      <c r="AS126" s="13" t="s">
        <v>561</v>
      </c>
      <c r="AT126" s="13" t="s">
        <v>561</v>
      </c>
      <c r="AU126" s="13" t="s">
        <v>561</v>
      </c>
      <c r="AV126" s="13" t="s">
        <v>561</v>
      </c>
      <c r="AW126" s="13" t="s">
        <v>561</v>
      </c>
      <c r="AX126" s="13" t="s">
        <v>561</v>
      </c>
      <c r="AY126" s="13" t="s">
        <v>561</v>
      </c>
      <c r="AZ126" s="13" t="s">
        <v>561</v>
      </c>
      <c r="BA126" s="13" t="s">
        <v>561</v>
      </c>
    </row>
    <row r="127" spans="1:21" ht="12" customHeight="1">
      <c r="A127" s="13" t="s">
        <v>804</v>
      </c>
      <c r="B127" s="13" t="s">
        <v>527</v>
      </c>
      <c r="C127" s="35" t="str">
        <f t="shared" si="33"/>
        <v>qa</v>
      </c>
      <c r="D127" s="13" t="s">
        <v>81</v>
      </c>
      <c r="E127" s="13" t="s">
        <v>246</v>
      </c>
      <c r="G127" s="39"/>
      <c r="H127" s="39"/>
      <c r="I127" s="39"/>
      <c r="J127" s="15">
        <v>1</v>
      </c>
      <c r="K127" s="15">
        <v>3</v>
      </c>
      <c r="L127" s="15">
        <v>4</v>
      </c>
      <c r="M127" s="13">
        <v>0</v>
      </c>
      <c r="N127" s="13">
        <v>7</v>
      </c>
      <c r="O127" s="13">
        <v>8</v>
      </c>
      <c r="P127" s="13">
        <v>9</v>
      </c>
      <c r="Q127" s="13">
        <v>0</v>
      </c>
      <c r="R127" s="13">
        <v>0</v>
      </c>
      <c r="S127" s="13">
        <v>13</v>
      </c>
      <c r="T127" s="13">
        <v>15</v>
      </c>
      <c r="U127" s="13">
        <v>20</v>
      </c>
    </row>
    <row r="128" spans="1:53" ht="12" customHeight="1">
      <c r="A128" s="13" t="s">
        <v>804</v>
      </c>
      <c r="B128" s="13" t="s">
        <v>527</v>
      </c>
      <c r="C128" s="35" t="str">
        <f t="shared" si="33"/>
        <v>qa</v>
      </c>
      <c r="D128" s="13" t="s">
        <v>81</v>
      </c>
      <c r="E128" s="13" t="s">
        <v>545</v>
      </c>
      <c r="F128" s="13" t="s">
        <v>544</v>
      </c>
      <c r="G128" s="15">
        <v>20</v>
      </c>
      <c r="H128" s="15">
        <v>20</v>
      </c>
      <c r="I128" s="15">
        <v>20</v>
      </c>
      <c r="J128" s="15">
        <v>20</v>
      </c>
      <c r="K128" s="15">
        <v>20</v>
      </c>
      <c r="L128" s="15">
        <v>5</v>
      </c>
      <c r="M128" s="15">
        <v>8</v>
      </c>
      <c r="N128" s="13">
        <v>8</v>
      </c>
      <c r="O128" s="13">
        <v>20</v>
      </c>
      <c r="P128" s="13">
        <v>15</v>
      </c>
      <c r="Q128" s="13">
        <v>20</v>
      </c>
      <c r="R128" s="13">
        <v>20</v>
      </c>
      <c r="S128" s="13">
        <v>15</v>
      </c>
      <c r="T128" s="13">
        <v>15</v>
      </c>
      <c r="U128" s="13">
        <v>4</v>
      </c>
      <c r="V128" s="13">
        <v>20</v>
      </c>
      <c r="W128" s="13">
        <v>20</v>
      </c>
      <c r="X128" s="13">
        <v>20</v>
      </c>
      <c r="Y128" s="13">
        <v>20</v>
      </c>
      <c r="Z128" s="13">
        <v>20</v>
      </c>
      <c r="AA128" s="13">
        <v>20</v>
      </c>
      <c r="AB128" s="13">
        <v>20</v>
      </c>
      <c r="AC128" s="13">
        <v>30</v>
      </c>
      <c r="AD128" s="13">
        <v>20</v>
      </c>
      <c r="AE128" s="13">
        <v>20</v>
      </c>
      <c r="AF128" s="13">
        <v>20</v>
      </c>
      <c r="AG128" s="13" t="s">
        <v>561</v>
      </c>
      <c r="AH128" s="13" t="s">
        <v>561</v>
      </c>
      <c r="AI128" s="13" t="s">
        <v>561</v>
      </c>
      <c r="AJ128" s="13" t="s">
        <v>561</v>
      </c>
      <c r="AK128" s="13" t="s">
        <v>561</v>
      </c>
      <c r="AL128" s="13" t="s">
        <v>561</v>
      </c>
      <c r="AM128" s="13" t="s">
        <v>561</v>
      </c>
      <c r="AN128" s="13" t="s">
        <v>561</v>
      </c>
      <c r="AO128" s="13" t="s">
        <v>561</v>
      </c>
      <c r="AP128" s="13" t="s">
        <v>561</v>
      </c>
      <c r="AQ128" s="13" t="s">
        <v>561</v>
      </c>
      <c r="AR128" s="13" t="s">
        <v>561</v>
      </c>
      <c r="AS128" s="13" t="s">
        <v>561</v>
      </c>
      <c r="AT128" s="13" t="s">
        <v>561</v>
      </c>
      <c r="AU128" s="13" t="s">
        <v>561</v>
      </c>
      <c r="AV128" s="13" t="s">
        <v>561</v>
      </c>
      <c r="AW128" s="13" t="s">
        <v>561</v>
      </c>
      <c r="AX128" s="13" t="s">
        <v>561</v>
      </c>
      <c r="AY128" s="13" t="s">
        <v>561</v>
      </c>
      <c r="AZ128" s="13" t="s">
        <v>561</v>
      </c>
      <c r="BA128" s="13" t="s">
        <v>561</v>
      </c>
    </row>
    <row r="129" spans="1:53" ht="12" customHeight="1">
      <c r="A129" s="13" t="s">
        <v>804</v>
      </c>
      <c r="B129" s="13" t="s">
        <v>527</v>
      </c>
      <c r="C129" s="35" t="str">
        <f t="shared" si="33"/>
        <v>qa</v>
      </c>
      <c r="D129" s="13" t="s">
        <v>81</v>
      </c>
      <c r="E129" s="15" t="s">
        <v>151</v>
      </c>
      <c r="F129" s="39"/>
      <c r="G129" s="50">
        <v>0</v>
      </c>
      <c r="H129" s="50">
        <v>7</v>
      </c>
      <c r="I129" s="50">
        <v>0</v>
      </c>
      <c r="J129" s="50">
        <v>0</v>
      </c>
      <c r="K129" s="50">
        <v>0</v>
      </c>
      <c r="L129" s="50">
        <v>24</v>
      </c>
      <c r="M129" s="13">
        <v>16</v>
      </c>
      <c r="N129" s="13">
        <v>16</v>
      </c>
      <c r="V129" s="13">
        <v>6</v>
      </c>
      <c r="AG129" s="13">
        <v>32</v>
      </c>
      <c r="AH129" s="13">
        <v>32</v>
      </c>
      <c r="AI129" s="13">
        <v>32</v>
      </c>
      <c r="AJ129" s="13">
        <v>32</v>
      </c>
      <c r="AK129" s="13">
        <v>32</v>
      </c>
      <c r="AL129" s="13">
        <v>32</v>
      </c>
      <c r="AM129" s="13">
        <v>32</v>
      </c>
      <c r="AN129" s="13">
        <v>32</v>
      </c>
      <c r="AO129" s="13">
        <v>32</v>
      </c>
      <c r="AP129" s="13">
        <v>32</v>
      </c>
      <c r="AQ129" s="13">
        <v>32</v>
      </c>
      <c r="AR129" s="13">
        <v>32</v>
      </c>
      <c r="AS129" s="13">
        <v>32</v>
      </c>
      <c r="AT129" s="13">
        <v>32</v>
      </c>
      <c r="AU129" s="13">
        <v>32</v>
      </c>
      <c r="AV129" s="13" t="s">
        <v>561</v>
      </c>
      <c r="AW129" s="13" t="s">
        <v>561</v>
      </c>
      <c r="AX129" s="13" t="s">
        <v>561</v>
      </c>
      <c r="AY129" s="13" t="s">
        <v>561</v>
      </c>
      <c r="AZ129" s="13" t="s">
        <v>561</v>
      </c>
      <c r="BA129" s="13" t="s">
        <v>561</v>
      </c>
    </row>
    <row r="130" spans="1:53" ht="12" customHeight="1">
      <c r="A130" s="45" t="str">
        <f>A126</f>
        <v>per</v>
      </c>
      <c r="B130" s="57" t="s">
        <v>527</v>
      </c>
      <c r="C130" s="45" t="str">
        <f t="shared" si="33"/>
        <v>qaT</v>
      </c>
      <c r="D130" s="70" t="str">
        <f>D126</f>
        <v>MSampson</v>
      </c>
      <c r="E130" s="47" t="str">
        <f>"TOTAL Avail: "&amp;D130</f>
        <v>TOTAL Avail: MSampson</v>
      </c>
      <c r="F130" s="49"/>
      <c r="G130" s="51" t="str">
        <f aca="true" t="shared" si="35" ref="G130:BA130">32-SUM(G125:G129)</f>
        <v>7</v>
      </c>
      <c r="H130" s="51" t="str">
        <f t="shared" si="35"/>
        <v>0</v>
      </c>
      <c r="I130" s="51" t="str">
        <f t="shared" si="35"/>
        <v>7</v>
      </c>
      <c r="J130" s="51" t="str">
        <f t="shared" si="35"/>
        <v>6</v>
      </c>
      <c r="K130" s="51" t="str">
        <f t="shared" si="35"/>
        <v>4</v>
      </c>
      <c r="L130" s="51" t="str">
        <f t="shared" si="35"/>
        <v>-3</v>
      </c>
      <c r="M130" s="51" t="str">
        <f t="shared" si="35"/>
        <v>6</v>
      </c>
      <c r="N130" s="51" t="str">
        <f t="shared" si="35"/>
        <v>-1</v>
      </c>
      <c r="O130" s="51" t="str">
        <f t="shared" si="35"/>
        <v>2</v>
      </c>
      <c r="P130" s="51" t="str">
        <f t="shared" si="35"/>
        <v>6</v>
      </c>
      <c r="Q130" s="51" t="str">
        <f t="shared" si="35"/>
        <v>10</v>
      </c>
      <c r="R130" s="51" t="str">
        <f t="shared" si="35"/>
        <v>10</v>
      </c>
      <c r="S130" s="51" t="str">
        <f t="shared" si="35"/>
        <v>2</v>
      </c>
      <c r="T130" s="51" t="str">
        <f t="shared" si="35"/>
        <v>0</v>
      </c>
      <c r="U130" s="51" t="str">
        <f t="shared" si="35"/>
        <v>6</v>
      </c>
      <c r="V130" s="51" t="str">
        <f t="shared" si="35"/>
        <v>4</v>
      </c>
      <c r="W130" s="51" t="str">
        <f t="shared" si="35"/>
        <v>10</v>
      </c>
      <c r="X130" s="51" t="str">
        <f t="shared" si="35"/>
        <v>10</v>
      </c>
      <c r="Y130" s="51" t="str">
        <f t="shared" si="35"/>
        <v>10</v>
      </c>
      <c r="Z130" s="51" t="str">
        <f t="shared" si="35"/>
        <v>10</v>
      </c>
      <c r="AA130" s="51" t="str">
        <f t="shared" si="35"/>
        <v>10</v>
      </c>
      <c r="AB130" s="51" t="str">
        <f t="shared" si="35"/>
        <v>10</v>
      </c>
      <c r="AC130" s="51" t="str">
        <f t="shared" si="35"/>
        <v>0</v>
      </c>
      <c r="AD130" s="51" t="str">
        <f t="shared" si="35"/>
        <v>10</v>
      </c>
      <c r="AE130" s="51" t="str">
        <f t="shared" si="35"/>
        <v>10</v>
      </c>
      <c r="AF130" s="51" t="str">
        <f t="shared" si="35"/>
        <v>10</v>
      </c>
      <c r="AG130" s="51" t="str">
        <f t="shared" si="35"/>
        <v>0</v>
      </c>
      <c r="AH130" s="51" t="str">
        <f t="shared" si="35"/>
        <v>0</v>
      </c>
      <c r="AI130" s="51" t="str">
        <f t="shared" si="35"/>
        <v>0</v>
      </c>
      <c r="AJ130" s="51" t="str">
        <f t="shared" si="35"/>
        <v>0</v>
      </c>
      <c r="AK130" s="51" t="str">
        <f t="shared" si="35"/>
        <v>0</v>
      </c>
      <c r="AL130" s="51" t="str">
        <f t="shared" si="35"/>
        <v>0</v>
      </c>
      <c r="AM130" s="51" t="str">
        <f t="shared" si="35"/>
        <v>0</v>
      </c>
      <c r="AN130" s="51" t="str">
        <f t="shared" si="35"/>
        <v>0</v>
      </c>
      <c r="AO130" s="51" t="str">
        <f t="shared" si="35"/>
        <v>0</v>
      </c>
      <c r="AP130" s="51" t="str">
        <f t="shared" si="35"/>
        <v>0</v>
      </c>
      <c r="AQ130" s="51" t="str">
        <f t="shared" si="35"/>
        <v>0</v>
      </c>
      <c r="AR130" s="51" t="str">
        <f t="shared" si="35"/>
        <v>0</v>
      </c>
      <c r="AS130" s="51" t="str">
        <f t="shared" si="35"/>
        <v>0</v>
      </c>
      <c r="AT130" s="51" t="str">
        <f t="shared" si="35"/>
        <v>0</v>
      </c>
      <c r="AU130" s="51" t="str">
        <f t="shared" si="35"/>
        <v>0</v>
      </c>
      <c r="AV130" s="51" t="str">
        <f t="shared" si="35"/>
        <v>32</v>
      </c>
      <c r="AW130" s="51" t="str">
        <f t="shared" si="35"/>
        <v>32</v>
      </c>
      <c r="AX130" s="51" t="str">
        <f t="shared" si="35"/>
        <v>32</v>
      </c>
      <c r="AY130" s="51" t="str">
        <f t="shared" si="35"/>
        <v>32</v>
      </c>
      <c r="AZ130" s="51" t="str">
        <f t="shared" si="35"/>
        <v>32</v>
      </c>
      <c r="BA130" s="51" t="str">
        <f t="shared" si="35"/>
        <v>32</v>
      </c>
    </row>
    <row r="131" spans="1:36" ht="12" customHeight="1">
      <c r="A131" s="13" t="s">
        <v>804</v>
      </c>
      <c r="B131" s="13" t="s">
        <v>527</v>
      </c>
      <c r="C131" s="35" t="str">
        <f t="shared" si="33"/>
        <v>qa</v>
      </c>
      <c r="D131" s="13" t="s">
        <v>84</v>
      </c>
      <c r="E131" s="15" t="s">
        <v>840</v>
      </c>
      <c r="G131" s="15">
        <v>0</v>
      </c>
      <c r="H131" s="15">
        <v>0</v>
      </c>
      <c r="I131" s="15">
        <v>0</v>
      </c>
      <c r="J131" s="15">
        <v>0</v>
      </c>
      <c r="K131" s="15">
        <v>0</v>
      </c>
      <c r="L131" s="15">
        <v>0</v>
      </c>
      <c r="M131" s="15">
        <v>0</v>
      </c>
      <c r="AG131" s="13">
        <v>5</v>
      </c>
      <c r="AH131" s="13">
        <v>3</v>
      </c>
      <c r="AI131" s="13">
        <v>5</v>
      </c>
      <c r="AJ131" s="13">
        <v>5</v>
      </c>
    </row>
    <row r="132" spans="1:53" ht="12" customHeight="1">
      <c r="A132" s="13" t="s">
        <v>804</v>
      </c>
      <c r="B132" s="13" t="s">
        <v>527</v>
      </c>
      <c r="C132" s="35" t="str">
        <f t="shared" si="33"/>
        <v>qa</v>
      </c>
      <c r="D132" s="13" t="s">
        <v>84</v>
      </c>
      <c r="E132" s="13" t="s">
        <v>731</v>
      </c>
      <c r="G132" s="15">
        <v>5</v>
      </c>
      <c r="H132" s="15">
        <v>5</v>
      </c>
      <c r="I132" s="15">
        <v>5</v>
      </c>
      <c r="J132" s="15">
        <v>5</v>
      </c>
      <c r="K132" s="15">
        <v>5</v>
      </c>
      <c r="L132" s="15">
        <v>2</v>
      </c>
      <c r="M132" s="15">
        <v>2</v>
      </c>
      <c r="N132" s="13">
        <v>2</v>
      </c>
      <c r="O132" s="13">
        <v>2</v>
      </c>
      <c r="P132" s="13">
        <v>2</v>
      </c>
      <c r="Q132" s="13">
        <v>2</v>
      </c>
      <c r="R132" s="13">
        <v>2</v>
      </c>
      <c r="S132" s="13">
        <v>2</v>
      </c>
      <c r="T132" s="13">
        <v>2</v>
      </c>
      <c r="U132" s="13">
        <v>2</v>
      </c>
      <c r="V132" s="13">
        <v>2</v>
      </c>
      <c r="W132" s="13">
        <v>2</v>
      </c>
      <c r="X132" s="13">
        <v>2</v>
      </c>
      <c r="Y132" s="13">
        <v>2</v>
      </c>
      <c r="Z132" s="13">
        <v>2</v>
      </c>
      <c r="AA132" s="13">
        <v>2</v>
      </c>
      <c r="AB132" s="13">
        <v>2</v>
      </c>
      <c r="AC132" s="13">
        <v>2</v>
      </c>
      <c r="AD132" s="13">
        <v>2</v>
      </c>
      <c r="AE132" s="13">
        <v>2</v>
      </c>
      <c r="AF132" s="13">
        <v>2</v>
      </c>
      <c r="AG132" s="13">
        <v>5</v>
      </c>
      <c r="AH132" s="13">
        <v>5</v>
      </c>
      <c r="AI132" s="13">
        <v>5</v>
      </c>
      <c r="AJ132" s="13">
        <v>5</v>
      </c>
      <c r="AK132" s="13">
        <v>5</v>
      </c>
      <c r="AL132" s="13" t="s">
        <v>561</v>
      </c>
      <c r="AM132" s="13" t="s">
        <v>839</v>
      </c>
      <c r="AN132" s="13" t="s">
        <v>561</v>
      </c>
      <c r="AO132" s="13" t="s">
        <v>561</v>
      </c>
      <c r="AP132" s="13" t="s">
        <v>561</v>
      </c>
      <c r="AQ132" s="13" t="s">
        <v>561</v>
      </c>
      <c r="AR132" s="13" t="s">
        <v>561</v>
      </c>
      <c r="AS132" s="13" t="s">
        <v>561</v>
      </c>
      <c r="AT132" s="13" t="s">
        <v>561</v>
      </c>
      <c r="AU132" s="13" t="s">
        <v>561</v>
      </c>
      <c r="AV132" s="13" t="s">
        <v>561</v>
      </c>
      <c r="AW132" s="13" t="s">
        <v>561</v>
      </c>
      <c r="AX132" s="13" t="s">
        <v>561</v>
      </c>
      <c r="AY132" s="13" t="s">
        <v>561</v>
      </c>
      <c r="AZ132" s="13" t="s">
        <v>561</v>
      </c>
      <c r="BA132" s="13" t="s">
        <v>561</v>
      </c>
    </row>
    <row r="133" spans="1:47" ht="12" customHeight="1">
      <c r="A133" s="13" t="s">
        <v>804</v>
      </c>
      <c r="B133" s="13" t="s">
        <v>527</v>
      </c>
      <c r="D133" s="13" t="s">
        <v>84</v>
      </c>
      <c r="E133" s="13" t="s">
        <v>760</v>
      </c>
      <c r="G133" s="39"/>
      <c r="H133" s="39"/>
      <c r="I133" s="39"/>
      <c r="J133" s="39"/>
      <c r="K133" s="39"/>
      <c r="L133" s="39"/>
      <c r="AT133" s="13">
        <v>21</v>
      </c>
      <c r="AU133" s="13">
        <v>21</v>
      </c>
    </row>
    <row r="134" spans="1:44" ht="12" customHeight="1">
      <c r="A134" s="13" t="s">
        <v>804</v>
      </c>
      <c r="B134" s="13" t="s">
        <v>527</v>
      </c>
      <c r="D134" s="13" t="s">
        <v>84</v>
      </c>
      <c r="E134" s="13" t="s">
        <v>319</v>
      </c>
      <c r="G134" s="39"/>
      <c r="H134" s="39"/>
      <c r="I134" s="39"/>
      <c r="J134" s="39"/>
      <c r="K134" s="39"/>
      <c r="L134" s="39"/>
      <c r="AP134" s="13">
        <v>5</v>
      </c>
      <c r="AQ134" s="13">
        <v>5</v>
      </c>
      <c r="AR134" s="13">
        <v>5</v>
      </c>
    </row>
    <row r="135" spans="1:21" ht="12" customHeight="1">
      <c r="A135" s="13" t="s">
        <v>804</v>
      </c>
      <c r="B135" s="13" t="s">
        <v>527</v>
      </c>
      <c r="C135" s="35" t="str">
        <f aca="true" t="shared" si="36" ref="C135:C146">B135&amp;IF(LEFT(E135,5)="TOTAL","T","")</f>
        <v>qa</v>
      </c>
      <c r="D135" s="13" t="s">
        <v>84</v>
      </c>
      <c r="E135" s="13" t="s">
        <v>246</v>
      </c>
      <c r="G135" s="39"/>
      <c r="H135" s="39"/>
      <c r="I135" s="39"/>
      <c r="J135" s="15">
        <v>1</v>
      </c>
      <c r="K135" s="15">
        <v>3</v>
      </c>
      <c r="L135" s="15">
        <v>4</v>
      </c>
      <c r="M135" s="13">
        <v>0</v>
      </c>
      <c r="N135" s="13">
        <v>7</v>
      </c>
      <c r="O135" s="13">
        <v>8</v>
      </c>
      <c r="P135" s="13">
        <v>9</v>
      </c>
      <c r="Q135" s="13">
        <v>0</v>
      </c>
      <c r="R135" s="13">
        <v>0</v>
      </c>
      <c r="S135" s="13">
        <v>13</v>
      </c>
      <c r="T135" s="13">
        <v>15</v>
      </c>
      <c r="U135" s="13">
        <v>20</v>
      </c>
    </row>
    <row r="136" spans="1:53" ht="12" customHeight="1">
      <c r="A136" s="13" t="s">
        <v>804</v>
      </c>
      <c r="B136" s="13" t="s">
        <v>527</v>
      </c>
      <c r="C136" s="35" t="str">
        <f t="shared" si="36"/>
        <v>qa</v>
      </c>
      <c r="D136" s="13" t="s">
        <v>84</v>
      </c>
      <c r="E136" s="13" t="s">
        <v>545</v>
      </c>
      <c r="F136" s="13" t="s">
        <v>544</v>
      </c>
      <c r="G136" s="15">
        <v>20</v>
      </c>
      <c r="H136" s="15">
        <v>20</v>
      </c>
      <c r="I136" s="15">
        <v>20</v>
      </c>
      <c r="J136" s="15">
        <v>20</v>
      </c>
      <c r="K136" s="15">
        <v>20</v>
      </c>
      <c r="L136" s="15">
        <v>5</v>
      </c>
      <c r="M136" s="15">
        <v>8</v>
      </c>
      <c r="N136" s="13">
        <v>8</v>
      </c>
      <c r="O136" s="13">
        <v>20</v>
      </c>
      <c r="P136" s="13">
        <v>15</v>
      </c>
      <c r="Q136" s="13">
        <v>20</v>
      </c>
      <c r="R136" s="13">
        <v>20</v>
      </c>
      <c r="S136" s="13">
        <v>15</v>
      </c>
      <c r="T136" s="13">
        <v>15</v>
      </c>
      <c r="U136" s="13">
        <v>4</v>
      </c>
      <c r="V136" s="13">
        <v>20</v>
      </c>
      <c r="W136" s="13">
        <v>20</v>
      </c>
      <c r="X136" s="13">
        <v>20</v>
      </c>
      <c r="Y136" s="13">
        <v>20</v>
      </c>
      <c r="Z136" s="13">
        <v>20</v>
      </c>
      <c r="AA136" s="13">
        <v>20</v>
      </c>
      <c r="AB136" s="13">
        <v>20</v>
      </c>
      <c r="AC136" s="13">
        <v>30</v>
      </c>
      <c r="AD136" s="13">
        <v>20</v>
      </c>
      <c r="AE136" s="13">
        <v>20</v>
      </c>
      <c r="AF136" s="13">
        <v>20</v>
      </c>
      <c r="AG136" s="13">
        <v>20</v>
      </c>
      <c r="AH136" s="13">
        <v>10</v>
      </c>
      <c r="AI136" s="13">
        <v>20</v>
      </c>
      <c r="AJ136" s="13">
        <v>20</v>
      </c>
      <c r="AK136" s="13">
        <v>20</v>
      </c>
      <c r="AL136" s="13" t="s">
        <v>561</v>
      </c>
      <c r="AM136" s="13" t="s">
        <v>561</v>
      </c>
      <c r="AN136" s="13" t="s">
        <v>561</v>
      </c>
      <c r="AO136" s="13" t="s">
        <v>561</v>
      </c>
      <c r="AP136" s="13" t="s">
        <v>561</v>
      </c>
      <c r="AQ136" s="13" t="s">
        <v>561</v>
      </c>
      <c r="AR136" s="13" t="s">
        <v>561</v>
      </c>
      <c r="AS136" s="13" t="s">
        <v>561</v>
      </c>
      <c r="AT136" s="13" t="s">
        <v>561</v>
      </c>
      <c r="AU136" s="13" t="s">
        <v>561</v>
      </c>
      <c r="AV136" s="13" t="s">
        <v>561</v>
      </c>
      <c r="AW136" s="13" t="s">
        <v>561</v>
      </c>
      <c r="AX136" s="13" t="s">
        <v>561</v>
      </c>
      <c r="AY136" s="13" t="s">
        <v>561</v>
      </c>
      <c r="AZ136" s="13" t="s">
        <v>561</v>
      </c>
      <c r="BA136" s="13" t="s">
        <v>561</v>
      </c>
    </row>
    <row r="137" spans="1:39" ht="12" customHeight="1">
      <c r="A137" s="13" t="s">
        <v>804</v>
      </c>
      <c r="B137" s="13" t="s">
        <v>527</v>
      </c>
      <c r="C137" s="35" t="str">
        <f t="shared" si="36"/>
        <v>qa</v>
      </c>
      <c r="D137" s="13" t="s">
        <v>84</v>
      </c>
      <c r="E137" s="15" t="s">
        <v>151</v>
      </c>
      <c r="F137" s="39"/>
      <c r="G137" s="50">
        <v>0</v>
      </c>
      <c r="H137" s="50">
        <v>7</v>
      </c>
      <c r="I137" s="50">
        <v>0</v>
      </c>
      <c r="J137" s="50">
        <v>0</v>
      </c>
      <c r="K137" s="50">
        <v>0</v>
      </c>
      <c r="L137" s="50">
        <v>24</v>
      </c>
      <c r="M137" s="13">
        <v>16</v>
      </c>
      <c r="N137" s="13">
        <v>16</v>
      </c>
      <c r="V137" s="13">
        <v>6</v>
      </c>
      <c r="AH137" s="13">
        <v>12</v>
      </c>
      <c r="AL137" s="13">
        <v>32</v>
      </c>
      <c r="AM137" s="13">
        <v>32</v>
      </c>
    </row>
    <row r="138" spans="1:53" ht="12" customHeight="1">
      <c r="A138" s="45" t="str">
        <f>A132</f>
        <v>per</v>
      </c>
      <c r="B138" s="57" t="s">
        <v>527</v>
      </c>
      <c r="C138" s="45" t="str">
        <f t="shared" si="36"/>
        <v>qaT</v>
      </c>
      <c r="D138" s="13" t="s">
        <v>84</v>
      </c>
      <c r="E138" s="47" t="str">
        <f>"TOTAL Avail: "&amp;D138</f>
        <v>TOTAL Avail: PRana</v>
      </c>
      <c r="F138" s="49"/>
      <c r="G138" s="51" t="str">
        <f aca="true" t="shared" si="37" ref="G138:BA138">32-SUM(G131:G137)</f>
        <v>7</v>
      </c>
      <c r="H138" s="51" t="str">
        <f t="shared" si="37"/>
        <v>0</v>
      </c>
      <c r="I138" s="51" t="str">
        <f t="shared" si="37"/>
        <v>7</v>
      </c>
      <c r="J138" s="51" t="str">
        <f t="shared" si="37"/>
        <v>6</v>
      </c>
      <c r="K138" s="51" t="str">
        <f t="shared" si="37"/>
        <v>4</v>
      </c>
      <c r="L138" s="51" t="str">
        <f t="shared" si="37"/>
        <v>-3</v>
      </c>
      <c r="M138" s="51" t="str">
        <f t="shared" si="37"/>
        <v>6</v>
      </c>
      <c r="N138" s="51" t="str">
        <f t="shared" si="37"/>
        <v>-1</v>
      </c>
      <c r="O138" s="51" t="str">
        <f t="shared" si="37"/>
        <v>2</v>
      </c>
      <c r="P138" s="51" t="str">
        <f t="shared" si="37"/>
        <v>6</v>
      </c>
      <c r="Q138" s="51" t="str">
        <f t="shared" si="37"/>
        <v>10</v>
      </c>
      <c r="R138" s="51" t="str">
        <f t="shared" si="37"/>
        <v>10</v>
      </c>
      <c r="S138" s="51" t="str">
        <f t="shared" si="37"/>
        <v>2</v>
      </c>
      <c r="T138" s="51" t="str">
        <f t="shared" si="37"/>
        <v>0</v>
      </c>
      <c r="U138" s="51" t="str">
        <f t="shared" si="37"/>
        <v>6</v>
      </c>
      <c r="V138" s="51" t="str">
        <f t="shared" si="37"/>
        <v>4</v>
      </c>
      <c r="W138" s="51" t="str">
        <f t="shared" si="37"/>
        <v>10</v>
      </c>
      <c r="X138" s="51" t="str">
        <f t="shared" si="37"/>
        <v>10</v>
      </c>
      <c r="Y138" s="51" t="str">
        <f t="shared" si="37"/>
        <v>10</v>
      </c>
      <c r="Z138" s="51" t="str">
        <f t="shared" si="37"/>
        <v>10</v>
      </c>
      <c r="AA138" s="51" t="str">
        <f t="shared" si="37"/>
        <v>10</v>
      </c>
      <c r="AB138" s="51" t="str">
        <f t="shared" si="37"/>
        <v>10</v>
      </c>
      <c r="AC138" s="51" t="str">
        <f t="shared" si="37"/>
        <v>0</v>
      </c>
      <c r="AD138" s="51" t="str">
        <f t="shared" si="37"/>
        <v>10</v>
      </c>
      <c r="AE138" s="51" t="str">
        <f t="shared" si="37"/>
        <v>10</v>
      </c>
      <c r="AF138" s="51" t="str">
        <f t="shared" si="37"/>
        <v>10</v>
      </c>
      <c r="AG138" s="51" t="str">
        <f t="shared" si="37"/>
        <v>2</v>
      </c>
      <c r="AH138" s="51" t="str">
        <f t="shared" si="37"/>
        <v>2</v>
      </c>
      <c r="AI138" s="51" t="str">
        <f t="shared" si="37"/>
        <v>2</v>
      </c>
      <c r="AJ138" s="51" t="str">
        <f t="shared" si="37"/>
        <v>2</v>
      </c>
      <c r="AK138" s="51" t="str">
        <f t="shared" si="37"/>
        <v>7</v>
      </c>
      <c r="AL138" s="51" t="str">
        <f t="shared" si="37"/>
        <v>0</v>
      </c>
      <c r="AM138" s="51" t="str">
        <f t="shared" si="37"/>
        <v>0</v>
      </c>
      <c r="AN138" s="51" t="str">
        <f t="shared" si="37"/>
        <v>32</v>
      </c>
      <c r="AO138" s="51" t="str">
        <f t="shared" si="37"/>
        <v>32</v>
      </c>
      <c r="AP138" s="51" t="str">
        <f t="shared" si="37"/>
        <v>27</v>
      </c>
      <c r="AQ138" s="51" t="str">
        <f t="shared" si="37"/>
        <v>27</v>
      </c>
      <c r="AR138" s="51" t="str">
        <f t="shared" si="37"/>
        <v>27</v>
      </c>
      <c r="AS138" s="51" t="str">
        <f t="shared" si="37"/>
        <v>32</v>
      </c>
      <c r="AT138" s="51" t="str">
        <f t="shared" si="37"/>
        <v>11</v>
      </c>
      <c r="AU138" s="51" t="str">
        <f t="shared" si="37"/>
        <v>11</v>
      </c>
      <c r="AV138" s="51" t="str">
        <f t="shared" si="37"/>
        <v>32</v>
      </c>
      <c r="AW138" s="51" t="str">
        <f t="shared" si="37"/>
        <v>32</v>
      </c>
      <c r="AX138" s="51" t="str">
        <f t="shared" si="37"/>
        <v>32</v>
      </c>
      <c r="AY138" s="51" t="str">
        <f t="shared" si="37"/>
        <v>32</v>
      </c>
      <c r="AZ138" s="51" t="str">
        <f t="shared" si="37"/>
        <v>32</v>
      </c>
      <c r="BA138" s="51" t="str">
        <f t="shared" si="37"/>
        <v>32</v>
      </c>
    </row>
    <row r="139" spans="1:27" ht="12" customHeight="1">
      <c r="A139" s="13" t="s">
        <v>804</v>
      </c>
      <c r="B139" s="13" t="s">
        <v>527</v>
      </c>
      <c r="C139" s="35" t="str">
        <f t="shared" si="36"/>
        <v>qa</v>
      </c>
      <c r="D139" s="13" t="s">
        <v>82</v>
      </c>
      <c r="E139" s="15" t="s">
        <v>174</v>
      </c>
      <c r="F139" s="13" t="s">
        <v>841</v>
      </c>
      <c r="G139" s="15">
        <v>2</v>
      </c>
      <c r="H139" s="15">
        <v>2</v>
      </c>
      <c r="I139" s="15">
        <v>0</v>
      </c>
      <c r="J139" s="15">
        <v>0</v>
      </c>
      <c r="K139" s="15">
        <v>0</v>
      </c>
      <c r="L139" s="15">
        <v>0</v>
      </c>
      <c r="M139" s="13">
        <v>0</v>
      </c>
      <c r="W139" s="13">
        <v>2</v>
      </c>
      <c r="X139" s="13">
        <v>2</v>
      </c>
      <c r="Y139" s="13">
        <v>2</v>
      </c>
      <c r="Z139" s="13">
        <v>10</v>
      </c>
      <c r="AA139" s="13">
        <v>10</v>
      </c>
    </row>
    <row r="140" spans="1:53" ht="12" customHeight="1">
      <c r="A140" s="13" t="s">
        <v>804</v>
      </c>
      <c r="B140" s="13" t="s">
        <v>527</v>
      </c>
      <c r="C140" s="35" t="str">
        <f t="shared" si="36"/>
        <v>qa</v>
      </c>
      <c r="D140" s="13" t="s">
        <v>82</v>
      </c>
      <c r="E140" s="13" t="s">
        <v>560</v>
      </c>
      <c r="G140" s="15">
        <v>2</v>
      </c>
      <c r="H140" s="15">
        <v>2</v>
      </c>
      <c r="I140" s="15">
        <v>4</v>
      </c>
      <c r="J140" s="15">
        <v>2</v>
      </c>
      <c r="K140" s="15">
        <v>2</v>
      </c>
      <c r="L140" s="15">
        <v>2</v>
      </c>
      <c r="M140" s="13">
        <v>0</v>
      </c>
      <c r="N140" s="13">
        <v>2</v>
      </c>
      <c r="O140" s="13">
        <v>3</v>
      </c>
      <c r="P140" s="13">
        <v>3</v>
      </c>
      <c r="Q140" s="13">
        <v>3</v>
      </c>
      <c r="R140" s="13">
        <v>3</v>
      </c>
      <c r="S140" s="13">
        <v>3</v>
      </c>
      <c r="T140" s="13">
        <v>3</v>
      </c>
      <c r="U140" s="13">
        <v>3</v>
      </c>
      <c r="V140" s="13">
        <v>3</v>
      </c>
      <c r="W140" s="13">
        <v>3</v>
      </c>
      <c r="X140" s="13">
        <v>3</v>
      </c>
      <c r="Y140" s="13">
        <v>3</v>
      </c>
      <c r="Z140" s="13">
        <v>3</v>
      </c>
      <c r="AA140" s="13">
        <v>3</v>
      </c>
      <c r="AB140" s="13">
        <v>3</v>
      </c>
      <c r="AC140" s="13">
        <v>0</v>
      </c>
      <c r="AD140" s="13">
        <v>3</v>
      </c>
      <c r="AE140" s="13">
        <v>3</v>
      </c>
      <c r="AF140" s="13">
        <v>3</v>
      </c>
      <c r="AG140" s="13">
        <v>3</v>
      </c>
      <c r="AH140" s="13">
        <v>3</v>
      </c>
      <c r="AI140" s="13">
        <v>3</v>
      </c>
      <c r="AJ140" s="13">
        <v>3</v>
      </c>
      <c r="AK140" s="13">
        <v>3</v>
      </c>
      <c r="AL140" s="13" t="s">
        <v>561</v>
      </c>
      <c r="AM140" s="13" t="s">
        <v>561</v>
      </c>
      <c r="AN140" s="13">
        <v>3</v>
      </c>
      <c r="AO140" s="13">
        <v>3</v>
      </c>
      <c r="AP140" s="13">
        <v>3</v>
      </c>
      <c r="AQ140" s="13">
        <v>3</v>
      </c>
      <c r="AR140" s="13">
        <v>3</v>
      </c>
      <c r="AS140" s="13">
        <v>3</v>
      </c>
      <c r="AT140" s="13">
        <v>3</v>
      </c>
      <c r="AU140" s="13">
        <v>3</v>
      </c>
      <c r="AV140" s="13">
        <v>3</v>
      </c>
      <c r="AW140" s="13">
        <v>3</v>
      </c>
      <c r="AX140" s="13">
        <v>3</v>
      </c>
      <c r="AY140" s="13">
        <v>3</v>
      </c>
      <c r="AZ140" s="13">
        <v>3</v>
      </c>
      <c r="BA140" s="13">
        <v>3</v>
      </c>
    </row>
    <row r="141" spans="1:52" ht="12" customHeight="1">
      <c r="A141" s="13" t="s">
        <v>804</v>
      </c>
      <c r="B141" s="13" t="s">
        <v>527</v>
      </c>
      <c r="C141" s="35" t="str">
        <f t="shared" si="36"/>
        <v>qa</v>
      </c>
      <c r="D141" s="13" t="s">
        <v>82</v>
      </c>
      <c r="E141" s="13" t="s">
        <v>168</v>
      </c>
      <c r="O141" s="13">
        <v>0</v>
      </c>
      <c r="P141" s="15">
        <v>0</v>
      </c>
      <c r="Q141" s="15">
        <v>1</v>
      </c>
      <c r="R141" s="15">
        <v>0</v>
      </c>
      <c r="S141" s="15">
        <v>4</v>
      </c>
      <c r="T141" s="13">
        <v>5</v>
      </c>
      <c r="U141" s="13">
        <v>7</v>
      </c>
      <c r="W141" s="13">
        <v>7</v>
      </c>
      <c r="X141" s="13">
        <v>8</v>
      </c>
      <c r="Y141" s="13">
        <v>10</v>
      </c>
      <c r="Z141" s="13">
        <v>13</v>
      </c>
      <c r="AA141" s="13">
        <v>15</v>
      </c>
      <c r="AB141" s="13">
        <v>16</v>
      </c>
      <c r="AC141" s="13">
        <v>0</v>
      </c>
      <c r="AD141" s="13">
        <v>0</v>
      </c>
      <c r="AN141" s="13">
        <v>6</v>
      </c>
      <c r="AO141" s="13">
        <v>6</v>
      </c>
      <c r="AP141" s="13">
        <v>6</v>
      </c>
      <c r="AQ141" s="13">
        <v>6</v>
      </c>
      <c r="AR141" s="13">
        <v>6</v>
      </c>
      <c r="AS141" s="13">
        <v>6</v>
      </c>
      <c r="AT141" s="13">
        <v>6</v>
      </c>
      <c r="AU141" s="13">
        <v>6</v>
      </c>
      <c r="AV141" s="13">
        <v>6</v>
      </c>
      <c r="AW141" s="13">
        <v>6</v>
      </c>
      <c r="AX141" s="13">
        <v>6</v>
      </c>
      <c r="AY141" s="13">
        <v>6</v>
      </c>
      <c r="AZ141" s="13">
        <v>6</v>
      </c>
    </row>
    <row r="142" spans="1:36" ht="12" customHeight="1">
      <c r="A142" s="13" t="s">
        <v>804</v>
      </c>
      <c r="B142" s="13" t="s">
        <v>527</v>
      </c>
      <c r="C142" s="35" t="str">
        <f t="shared" si="36"/>
        <v>qa</v>
      </c>
      <c r="D142" s="13" t="s">
        <v>82</v>
      </c>
      <c r="E142" s="13" t="s">
        <v>271</v>
      </c>
      <c r="F142" s="13" t="s">
        <v>842</v>
      </c>
      <c r="AH142" s="13">
        <v>8</v>
      </c>
      <c r="AJ142" s="13">
        <v>8</v>
      </c>
    </row>
    <row r="143" spans="1:36" ht="12" customHeight="1">
      <c r="A143" s="13" t="s">
        <v>804</v>
      </c>
      <c r="B143" s="13" t="s">
        <v>527</v>
      </c>
      <c r="C143" s="35" t="str">
        <f t="shared" si="36"/>
        <v>qa</v>
      </c>
      <c r="D143" s="13" t="s">
        <v>82</v>
      </c>
      <c r="E143" s="13" t="s">
        <v>271</v>
      </c>
      <c r="F143" s="13" t="s">
        <v>843</v>
      </c>
      <c r="AH143" s="13">
        <v>8</v>
      </c>
      <c r="AJ143" s="13">
        <v>16</v>
      </c>
    </row>
    <row r="144" spans="1:53" ht="12" customHeight="1">
      <c r="A144" s="13" t="s">
        <v>804</v>
      </c>
      <c r="B144" s="13" t="s">
        <v>527</v>
      </c>
      <c r="C144" s="35" t="str">
        <f t="shared" si="36"/>
        <v>qa</v>
      </c>
      <c r="D144" s="13" t="s">
        <v>82</v>
      </c>
      <c r="E144" s="13" t="s">
        <v>545</v>
      </c>
      <c r="F144" s="13" t="s">
        <v>566</v>
      </c>
      <c r="G144" s="15">
        <v>20</v>
      </c>
      <c r="H144" s="15">
        <v>20</v>
      </c>
      <c r="I144" s="15">
        <v>20</v>
      </c>
      <c r="J144" s="15">
        <v>15</v>
      </c>
      <c r="K144" s="15">
        <v>12</v>
      </c>
      <c r="L144" s="15">
        <v>11</v>
      </c>
      <c r="M144" s="13">
        <v>0</v>
      </c>
      <c r="N144" s="13">
        <v>18</v>
      </c>
      <c r="O144" s="13">
        <v>25</v>
      </c>
      <c r="P144" s="13">
        <v>25</v>
      </c>
      <c r="Q144" s="13">
        <v>20</v>
      </c>
      <c r="R144" s="13">
        <v>25</v>
      </c>
      <c r="S144" s="13">
        <v>25</v>
      </c>
      <c r="T144" s="13">
        <v>24</v>
      </c>
      <c r="U144" s="13">
        <v>22</v>
      </c>
      <c r="V144" s="13">
        <v>15</v>
      </c>
      <c r="W144" s="13">
        <v>12</v>
      </c>
      <c r="X144" s="13">
        <v>18</v>
      </c>
      <c r="Y144" s="13">
        <v>17</v>
      </c>
      <c r="Z144" s="13">
        <v>6</v>
      </c>
      <c r="AA144" s="13">
        <v>4</v>
      </c>
      <c r="AB144" s="13">
        <v>5</v>
      </c>
      <c r="AC144" s="13">
        <v>0</v>
      </c>
      <c r="AD144" s="13">
        <v>29</v>
      </c>
      <c r="AE144" s="13">
        <v>29</v>
      </c>
      <c r="AF144" s="13">
        <v>29</v>
      </c>
      <c r="AG144" s="13">
        <v>20</v>
      </c>
      <c r="AH144" s="13">
        <v>0</v>
      </c>
      <c r="AI144" s="13">
        <v>20</v>
      </c>
      <c r="AK144" s="13">
        <v>20</v>
      </c>
      <c r="AN144" s="13">
        <v>20</v>
      </c>
      <c r="AO144" s="13">
        <v>10</v>
      </c>
      <c r="AP144" s="13">
        <v>10</v>
      </c>
      <c r="AQ144" s="13">
        <v>10</v>
      </c>
      <c r="AR144" s="13">
        <v>10</v>
      </c>
      <c r="AS144" s="13">
        <v>10</v>
      </c>
      <c r="AT144" s="13">
        <v>10</v>
      </c>
      <c r="AU144" s="13">
        <v>8</v>
      </c>
      <c r="AV144" s="13">
        <v>10</v>
      </c>
      <c r="AW144" s="13">
        <v>10</v>
      </c>
      <c r="AX144" s="13">
        <v>10</v>
      </c>
      <c r="AY144" s="13">
        <v>20</v>
      </c>
      <c r="AZ144" s="13">
        <v>20</v>
      </c>
      <c r="BA144" s="13">
        <v>20</v>
      </c>
    </row>
    <row r="145" spans="1:50" ht="12" customHeight="1">
      <c r="A145" s="13" t="s">
        <v>804</v>
      </c>
      <c r="B145" s="13" t="s">
        <v>527</v>
      </c>
      <c r="C145" s="35" t="str">
        <f t="shared" si="36"/>
        <v>qa</v>
      </c>
      <c r="D145" s="13" t="s">
        <v>82</v>
      </c>
      <c r="E145" s="13" t="s">
        <v>159</v>
      </c>
      <c r="G145" s="39"/>
      <c r="H145" s="39"/>
      <c r="I145" s="39"/>
      <c r="J145" s="39"/>
      <c r="K145" s="39"/>
      <c r="L145" s="39"/>
      <c r="AN145" s="13">
        <v>1</v>
      </c>
      <c r="AO145" s="13">
        <v>2</v>
      </c>
      <c r="AP145" s="13">
        <v>3</v>
      </c>
      <c r="AQ145" s="13">
        <v>3</v>
      </c>
      <c r="AR145" s="13">
        <v>4</v>
      </c>
      <c r="AS145" s="13">
        <v>5</v>
      </c>
      <c r="AT145" s="13">
        <v>5</v>
      </c>
      <c r="AU145" s="13">
        <v>6</v>
      </c>
      <c r="AV145" s="13">
        <v>7</v>
      </c>
      <c r="AW145" s="13">
        <v>7</v>
      </c>
      <c r="AX145" s="13">
        <v>8</v>
      </c>
    </row>
    <row r="146" spans="1:47" ht="12" customHeight="1">
      <c r="A146" s="13" t="s">
        <v>804</v>
      </c>
      <c r="B146" s="13" t="s">
        <v>527</v>
      </c>
      <c r="C146" s="35" t="str">
        <f t="shared" si="36"/>
        <v>qa</v>
      </c>
      <c r="D146" s="13" t="s">
        <v>82</v>
      </c>
      <c r="E146" s="13" t="s">
        <v>673</v>
      </c>
      <c r="G146" s="39"/>
      <c r="H146" s="39"/>
      <c r="I146" s="39"/>
      <c r="J146" s="39"/>
      <c r="K146" s="39"/>
      <c r="L146" s="39"/>
      <c r="AK146" s="13">
        <v>1</v>
      </c>
      <c r="AN146" s="13">
        <v>1</v>
      </c>
      <c r="AO146" s="13">
        <v>2</v>
      </c>
      <c r="AP146" s="13">
        <v>3</v>
      </c>
      <c r="AQ146" s="13">
        <v>4</v>
      </c>
      <c r="AR146" s="13">
        <v>5</v>
      </c>
      <c r="AS146" s="13">
        <v>6</v>
      </c>
      <c r="AT146" s="13">
        <v>7</v>
      </c>
      <c r="AU146" s="13">
        <v>9</v>
      </c>
    </row>
    <row r="147" spans="1:37" ht="12" customHeight="1">
      <c r="A147" s="13" t="s">
        <v>804</v>
      </c>
      <c r="B147" s="13" t="s">
        <v>527</v>
      </c>
      <c r="D147" s="13" t="s">
        <v>82</v>
      </c>
      <c r="E147" s="13" t="s">
        <v>840</v>
      </c>
      <c r="G147" s="39"/>
      <c r="H147" s="39"/>
      <c r="I147" s="39"/>
      <c r="J147" s="39"/>
      <c r="K147" s="39"/>
      <c r="L147" s="39"/>
      <c r="AG147" s="13">
        <v>5</v>
      </c>
      <c r="AH147" s="13">
        <v>3</v>
      </c>
      <c r="AI147" s="13">
        <v>5</v>
      </c>
      <c r="AJ147" s="13">
        <v>5</v>
      </c>
      <c r="AK147" s="13">
        <v>5</v>
      </c>
    </row>
    <row r="148" spans="1:53" ht="12" customHeight="1">
      <c r="A148" s="13" t="s">
        <v>804</v>
      </c>
      <c r="B148" s="13" t="s">
        <v>527</v>
      </c>
      <c r="C148" s="35" t="str">
        <f>B148&amp;IF(LEFT(E148,5)="TOTAL","T","")</f>
        <v>qa</v>
      </c>
      <c r="D148" s="13" t="s">
        <v>82</v>
      </c>
      <c r="E148" s="15" t="s">
        <v>151</v>
      </c>
      <c r="F148" s="39"/>
      <c r="G148" s="50">
        <v>0</v>
      </c>
      <c r="H148" s="50">
        <v>7</v>
      </c>
      <c r="I148" s="50">
        <v>0</v>
      </c>
      <c r="J148" s="50">
        <v>0</v>
      </c>
      <c r="K148" s="50">
        <v>0</v>
      </c>
      <c r="L148" s="50">
        <v>0</v>
      </c>
      <c r="M148" s="13">
        <v>32</v>
      </c>
      <c r="V148" s="13">
        <v>6</v>
      </c>
      <c r="W148" s="13">
        <v>8</v>
      </c>
      <c r="AB148" s="13">
        <v>8</v>
      </c>
      <c r="AC148" s="13">
        <v>32</v>
      </c>
      <c r="AG148" s="13" t="s">
        <v>561</v>
      </c>
      <c r="AH148" s="13">
        <v>12</v>
      </c>
      <c r="AI148" s="13" t="s">
        <v>561</v>
      </c>
      <c r="AJ148" s="13" t="s">
        <v>561</v>
      </c>
      <c r="AK148" s="13" t="s">
        <v>561</v>
      </c>
      <c r="AL148" s="13">
        <v>32</v>
      </c>
      <c r="AM148" s="13">
        <v>32</v>
      </c>
      <c r="AN148" s="13" t="s">
        <v>561</v>
      </c>
      <c r="AO148" s="13" t="s">
        <v>561</v>
      </c>
      <c r="AP148" s="13" t="s">
        <v>561</v>
      </c>
      <c r="AQ148" s="13" t="s">
        <v>561</v>
      </c>
      <c r="AR148" s="13" t="s">
        <v>561</v>
      </c>
      <c r="AS148" s="13" t="s">
        <v>561</v>
      </c>
      <c r="AT148" s="13" t="s">
        <v>561</v>
      </c>
      <c r="AU148" s="13" t="s">
        <v>561</v>
      </c>
      <c r="AV148" s="13" t="s">
        <v>561</v>
      </c>
      <c r="AW148" s="13" t="s">
        <v>561</v>
      </c>
      <c r="AX148" s="13" t="s">
        <v>561</v>
      </c>
      <c r="AY148" s="13" t="s">
        <v>561</v>
      </c>
      <c r="AZ148" s="13" t="s">
        <v>561</v>
      </c>
      <c r="BA148" s="13" t="s">
        <v>561</v>
      </c>
    </row>
    <row r="149" spans="1:17" ht="12" customHeight="1">
      <c r="A149" s="13" t="s">
        <v>804</v>
      </c>
      <c r="B149" s="13" t="s">
        <v>703</v>
      </c>
      <c r="D149" s="13" t="s">
        <v>82</v>
      </c>
      <c r="E149" s="15" t="s">
        <v>827</v>
      </c>
      <c r="F149" s="15" t="s">
        <v>828</v>
      </c>
      <c r="G149" s="141"/>
      <c r="H149" s="141"/>
      <c r="I149" s="141"/>
      <c r="J149" s="141"/>
      <c r="K149" s="141"/>
      <c r="L149" s="141"/>
      <c r="M149" s="141"/>
      <c r="P149" s="13">
        <v>2</v>
      </c>
      <c r="Q149" s="13">
        <v>6</v>
      </c>
    </row>
    <row r="150" spans="1:53" ht="12" customHeight="1">
      <c r="A150" s="45" t="str">
        <f>A140</f>
        <v>per</v>
      </c>
      <c r="B150" s="57" t="s">
        <v>527</v>
      </c>
      <c r="C150" s="45" t="str">
        <f aca="true" t="shared" si="38" ref="C150:C170">B150&amp;IF(LEFT(E150,5)="TOTAL","T","")</f>
        <v>qaT</v>
      </c>
      <c r="D150" s="70" t="str">
        <f>D140</f>
        <v>JGeditz</v>
      </c>
      <c r="E150" s="47" t="str">
        <f>"TOTAL Avail: "&amp;D150</f>
        <v>TOTAL Avail: JGeditz</v>
      </c>
      <c r="F150" s="49"/>
      <c r="G150" s="51" t="str">
        <f aca="true" t="shared" si="39" ref="G150:L150">32-SUM(G139:G148)</f>
        <v>8</v>
      </c>
      <c r="H150" s="51" t="str">
        <f t="shared" si="39"/>
        <v>1</v>
      </c>
      <c r="I150" s="51" t="str">
        <f t="shared" si="39"/>
        <v>8</v>
      </c>
      <c r="J150" s="51" t="str">
        <f t="shared" si="39"/>
        <v>15</v>
      </c>
      <c r="K150" s="51" t="str">
        <f t="shared" si="39"/>
        <v>18</v>
      </c>
      <c r="L150" s="51" t="str">
        <f t="shared" si="39"/>
        <v>19</v>
      </c>
      <c r="M150" s="51" t="str">
        <f aca="true" t="shared" si="40" ref="M150:BA150">32-SUM(M139:M149)</f>
        <v>0</v>
      </c>
      <c r="N150" s="51" t="str">
        <f t="shared" si="40"/>
        <v>12</v>
      </c>
      <c r="O150" s="51" t="str">
        <f t="shared" si="40"/>
        <v>4</v>
      </c>
      <c r="P150" s="51" t="str">
        <f t="shared" si="40"/>
        <v>2</v>
      </c>
      <c r="Q150" s="51" t="str">
        <f t="shared" si="40"/>
        <v>2</v>
      </c>
      <c r="R150" s="51" t="str">
        <f t="shared" si="40"/>
        <v>4</v>
      </c>
      <c r="S150" s="51" t="str">
        <f t="shared" si="40"/>
        <v>0</v>
      </c>
      <c r="T150" s="51" t="str">
        <f t="shared" si="40"/>
        <v>0</v>
      </c>
      <c r="U150" s="51" t="str">
        <f t="shared" si="40"/>
        <v>0</v>
      </c>
      <c r="V150" s="51" t="str">
        <f t="shared" si="40"/>
        <v>8</v>
      </c>
      <c r="W150" s="51" t="str">
        <f t="shared" si="40"/>
        <v>0</v>
      </c>
      <c r="X150" s="51" t="str">
        <f t="shared" si="40"/>
        <v>1</v>
      </c>
      <c r="Y150" s="51" t="str">
        <f t="shared" si="40"/>
        <v>0</v>
      </c>
      <c r="Z150" s="51" t="str">
        <f t="shared" si="40"/>
        <v>0</v>
      </c>
      <c r="AA150" s="51" t="str">
        <f t="shared" si="40"/>
        <v>0</v>
      </c>
      <c r="AB150" s="51" t="str">
        <f t="shared" si="40"/>
        <v>0</v>
      </c>
      <c r="AC150" s="51" t="str">
        <f t="shared" si="40"/>
        <v>0</v>
      </c>
      <c r="AD150" s="51" t="str">
        <f t="shared" si="40"/>
        <v>0</v>
      </c>
      <c r="AE150" s="51" t="str">
        <f t="shared" si="40"/>
        <v>0</v>
      </c>
      <c r="AF150" s="51" t="str">
        <f t="shared" si="40"/>
        <v>0</v>
      </c>
      <c r="AG150" s="51" t="str">
        <f t="shared" si="40"/>
        <v>4</v>
      </c>
      <c r="AH150" s="51" t="str">
        <f t="shared" si="40"/>
        <v>-2</v>
      </c>
      <c r="AI150" s="51" t="str">
        <f t="shared" si="40"/>
        <v>4</v>
      </c>
      <c r="AJ150" s="51" t="str">
        <f t="shared" si="40"/>
        <v>0</v>
      </c>
      <c r="AK150" s="51" t="str">
        <f t="shared" si="40"/>
        <v>3</v>
      </c>
      <c r="AL150" s="51" t="str">
        <f t="shared" si="40"/>
        <v>0</v>
      </c>
      <c r="AM150" s="51" t="str">
        <f t="shared" si="40"/>
        <v>0</v>
      </c>
      <c r="AN150" s="51" t="str">
        <f t="shared" si="40"/>
        <v>1</v>
      </c>
      <c r="AO150" s="51" t="str">
        <f t="shared" si="40"/>
        <v>9</v>
      </c>
      <c r="AP150" s="51" t="str">
        <f t="shared" si="40"/>
        <v>7</v>
      </c>
      <c r="AQ150" s="51" t="str">
        <f t="shared" si="40"/>
        <v>6</v>
      </c>
      <c r="AR150" s="51" t="str">
        <f t="shared" si="40"/>
        <v>4</v>
      </c>
      <c r="AS150" s="51" t="str">
        <f t="shared" si="40"/>
        <v>2</v>
      </c>
      <c r="AT150" s="51" t="str">
        <f t="shared" si="40"/>
        <v>1</v>
      </c>
      <c r="AU150" s="51" t="str">
        <f t="shared" si="40"/>
        <v>0</v>
      </c>
      <c r="AV150" s="51" t="str">
        <f t="shared" si="40"/>
        <v>6</v>
      </c>
      <c r="AW150" s="51" t="str">
        <f t="shared" si="40"/>
        <v>6</v>
      </c>
      <c r="AX150" s="51" t="str">
        <f t="shared" si="40"/>
        <v>5</v>
      </c>
      <c r="AY150" s="51" t="str">
        <f t="shared" si="40"/>
        <v>3</v>
      </c>
      <c r="AZ150" s="51" t="str">
        <f t="shared" si="40"/>
        <v>3</v>
      </c>
      <c r="BA150" s="51" t="str">
        <f t="shared" si="40"/>
        <v>9</v>
      </c>
    </row>
    <row r="151" spans="1:32" ht="12" customHeight="1">
      <c r="A151" s="13" t="s">
        <v>798</v>
      </c>
      <c r="B151" s="13" t="s">
        <v>717</v>
      </c>
      <c r="C151" s="35" t="str">
        <f t="shared" si="38"/>
        <v>pd</v>
      </c>
      <c r="D151" s="13" t="s">
        <v>88</v>
      </c>
      <c r="E151" s="13" t="s">
        <v>209</v>
      </c>
      <c r="G151" s="15">
        <v>5</v>
      </c>
      <c r="H151" s="15">
        <v>5</v>
      </c>
      <c r="I151" s="15">
        <v>5</v>
      </c>
      <c r="J151" s="15">
        <v>5</v>
      </c>
      <c r="K151" s="15">
        <v>5</v>
      </c>
      <c r="L151" s="15">
        <v>5</v>
      </c>
      <c r="M151" s="15">
        <v>5</v>
      </c>
      <c r="N151" s="13">
        <v>0</v>
      </c>
      <c r="O151" s="13">
        <v>0</v>
      </c>
      <c r="P151" s="13">
        <v>0</v>
      </c>
      <c r="Q151" s="13">
        <v>0</v>
      </c>
      <c r="R151" s="13">
        <v>2</v>
      </c>
      <c r="S151" s="13">
        <v>0</v>
      </c>
      <c r="T151" s="13">
        <v>0</v>
      </c>
      <c r="U151" s="13">
        <v>0</v>
      </c>
      <c r="V151" s="13">
        <v>0</v>
      </c>
      <c r="W151" s="13">
        <v>0</v>
      </c>
      <c r="X151" s="13">
        <v>2</v>
      </c>
      <c r="Y151" s="13">
        <v>0</v>
      </c>
      <c r="Z151" s="13">
        <v>0</v>
      </c>
      <c r="AA151" s="13">
        <v>0</v>
      </c>
      <c r="AB151" s="13">
        <v>0</v>
      </c>
      <c r="AC151" s="13">
        <v>0</v>
      </c>
      <c r="AD151" s="13">
        <v>0</v>
      </c>
      <c r="AE151" s="13">
        <v>0</v>
      </c>
      <c r="AF151" s="13">
        <v>0</v>
      </c>
    </row>
    <row r="152" spans="1:32" ht="12" customHeight="1">
      <c r="A152" s="13" t="s">
        <v>798</v>
      </c>
      <c r="B152" s="13" t="s">
        <v>717</v>
      </c>
      <c r="C152" s="35" t="str">
        <f t="shared" si="38"/>
        <v>pd</v>
      </c>
      <c r="D152" s="13" t="s">
        <v>88</v>
      </c>
      <c r="E152" s="13" t="s">
        <v>167</v>
      </c>
      <c r="F152" s="13" t="s">
        <v>777</v>
      </c>
      <c r="G152" s="15">
        <v>10</v>
      </c>
      <c r="H152" s="15">
        <v>10</v>
      </c>
      <c r="I152" s="15">
        <v>5</v>
      </c>
      <c r="J152" s="15">
        <v>5</v>
      </c>
      <c r="K152" s="15">
        <v>5</v>
      </c>
      <c r="L152" s="15">
        <v>2</v>
      </c>
      <c r="M152" s="15">
        <v>4</v>
      </c>
      <c r="N152" s="13">
        <v>4</v>
      </c>
      <c r="O152" s="13">
        <v>2</v>
      </c>
      <c r="P152" s="13">
        <v>0</v>
      </c>
      <c r="Q152" s="13">
        <v>0</v>
      </c>
      <c r="R152" s="13">
        <v>0</v>
      </c>
      <c r="S152" s="13">
        <v>0</v>
      </c>
      <c r="T152" s="13">
        <v>0</v>
      </c>
      <c r="U152" s="13">
        <v>0</v>
      </c>
      <c r="V152" s="13">
        <v>0</v>
      </c>
      <c r="W152" s="13">
        <v>0</v>
      </c>
      <c r="X152" s="13">
        <v>0</v>
      </c>
      <c r="Y152" s="13">
        <v>0</v>
      </c>
      <c r="Z152" s="13">
        <v>0</v>
      </c>
      <c r="AA152" s="13">
        <v>0</v>
      </c>
      <c r="AB152" s="13">
        <v>0</v>
      </c>
      <c r="AC152" s="13">
        <v>0</v>
      </c>
      <c r="AD152" s="13">
        <v>0</v>
      </c>
      <c r="AE152" s="13">
        <v>0</v>
      </c>
      <c r="AF152" s="13">
        <v>0</v>
      </c>
    </row>
    <row r="153" spans="1:37" ht="12" customHeight="1">
      <c r="A153" s="13" t="s">
        <v>798</v>
      </c>
      <c r="B153" s="13" t="s">
        <v>717</v>
      </c>
      <c r="C153" s="35" t="str">
        <f t="shared" si="38"/>
        <v>pd</v>
      </c>
      <c r="D153" s="13" t="s">
        <v>88</v>
      </c>
      <c r="E153" s="13" t="s">
        <v>845</v>
      </c>
      <c r="G153" s="39"/>
      <c r="H153" s="39"/>
      <c r="I153" s="39"/>
      <c r="J153" s="39"/>
      <c r="K153" s="39"/>
      <c r="L153" s="39"/>
      <c r="M153" s="39"/>
      <c r="O153" s="13">
        <v>5</v>
      </c>
      <c r="P153" s="13">
        <v>2</v>
      </c>
      <c r="Q153" s="13">
        <v>5</v>
      </c>
      <c r="R153" s="13">
        <v>2</v>
      </c>
      <c r="S153" s="13">
        <v>5</v>
      </c>
      <c r="T153" s="13">
        <v>2</v>
      </c>
      <c r="U153" s="13">
        <v>5</v>
      </c>
      <c r="V153" s="13">
        <v>2</v>
      </c>
      <c r="W153" s="13">
        <v>5</v>
      </c>
      <c r="X153" s="13">
        <v>5</v>
      </c>
      <c r="Y153" s="13">
        <v>5</v>
      </c>
      <c r="Z153" s="13">
        <v>5</v>
      </c>
      <c r="AA153" s="13">
        <v>5</v>
      </c>
      <c r="AB153" s="13">
        <v>5</v>
      </c>
      <c r="AC153" s="13">
        <v>5</v>
      </c>
      <c r="AD153" s="13">
        <v>5</v>
      </c>
      <c r="AE153" s="13">
        <v>5</v>
      </c>
      <c r="AF153" s="13">
        <v>5</v>
      </c>
      <c r="AG153" s="13">
        <v>5</v>
      </c>
      <c r="AH153" s="13">
        <v>5</v>
      </c>
      <c r="AI153" s="13">
        <v>5</v>
      </c>
      <c r="AJ153" s="13">
        <v>5</v>
      </c>
      <c r="AK153" s="13">
        <v>5</v>
      </c>
    </row>
    <row r="154" spans="1:37" ht="12" customHeight="1">
      <c r="A154" s="13" t="s">
        <v>798</v>
      </c>
      <c r="B154" s="13" t="s">
        <v>717</v>
      </c>
      <c r="C154" s="35" t="str">
        <f t="shared" si="38"/>
        <v>pd</v>
      </c>
      <c r="D154" s="13" t="s">
        <v>88</v>
      </c>
      <c r="E154" s="13" t="s">
        <v>846</v>
      </c>
      <c r="G154" s="39"/>
      <c r="H154" s="39"/>
      <c r="I154" s="39"/>
      <c r="J154" s="39"/>
      <c r="K154" s="39"/>
      <c r="L154" s="39"/>
      <c r="M154" s="39"/>
      <c r="O154" s="13">
        <v>10</v>
      </c>
      <c r="P154" s="13">
        <v>0</v>
      </c>
      <c r="Q154" s="13">
        <v>3</v>
      </c>
      <c r="R154" s="13">
        <v>8</v>
      </c>
      <c r="S154" s="13">
        <v>8</v>
      </c>
      <c r="T154" s="13">
        <v>8</v>
      </c>
      <c r="U154" s="13">
        <v>5</v>
      </c>
      <c r="V154" s="13">
        <v>5</v>
      </c>
      <c r="W154" s="13">
        <v>3</v>
      </c>
      <c r="X154" s="13">
        <v>3</v>
      </c>
      <c r="Y154" s="13">
        <v>3</v>
      </c>
      <c r="Z154" s="13">
        <v>3</v>
      </c>
      <c r="AA154" s="13">
        <v>3</v>
      </c>
      <c r="AB154" s="13">
        <v>3</v>
      </c>
      <c r="AC154" s="13">
        <v>8</v>
      </c>
      <c r="AD154" s="13">
        <v>8</v>
      </c>
      <c r="AE154" s="13">
        <v>8</v>
      </c>
      <c r="AF154" s="13">
        <v>8</v>
      </c>
      <c r="AG154" s="13">
        <v>8</v>
      </c>
      <c r="AH154" s="13">
        <v>8</v>
      </c>
      <c r="AI154" s="13">
        <v>8</v>
      </c>
      <c r="AJ154" s="13">
        <v>8</v>
      </c>
      <c r="AK154" s="13">
        <v>8</v>
      </c>
    </row>
    <row r="155" spans="1:37" ht="12" customHeight="1">
      <c r="A155" s="13" t="s">
        <v>798</v>
      </c>
      <c r="B155" s="13" t="s">
        <v>717</v>
      </c>
      <c r="C155" s="35" t="str">
        <f t="shared" si="38"/>
        <v>pd</v>
      </c>
      <c r="D155" s="13" t="s">
        <v>88</v>
      </c>
      <c r="E155" s="13" t="s">
        <v>602</v>
      </c>
      <c r="G155" s="15">
        <v>20</v>
      </c>
      <c r="H155" s="15">
        <v>5</v>
      </c>
      <c r="I155" s="15">
        <v>20</v>
      </c>
      <c r="J155" s="15">
        <v>20</v>
      </c>
      <c r="K155" s="15">
        <v>20</v>
      </c>
      <c r="L155" s="15">
        <v>20</v>
      </c>
      <c r="M155" s="15">
        <v>12</v>
      </c>
      <c r="N155" s="13">
        <v>17</v>
      </c>
      <c r="O155" s="13">
        <v>2</v>
      </c>
      <c r="P155" s="13">
        <v>2</v>
      </c>
      <c r="Q155" s="13">
        <v>2</v>
      </c>
      <c r="R155" s="13">
        <v>2</v>
      </c>
      <c r="S155" s="13">
        <v>2</v>
      </c>
      <c r="T155" s="13">
        <v>2</v>
      </c>
      <c r="U155" s="13">
        <v>2</v>
      </c>
      <c r="V155" s="13">
        <v>2</v>
      </c>
      <c r="W155" s="13">
        <v>2</v>
      </c>
      <c r="X155" s="13">
        <v>2</v>
      </c>
      <c r="Y155" s="13">
        <v>2</v>
      </c>
      <c r="Z155" s="13">
        <v>2</v>
      </c>
      <c r="AA155" s="13">
        <v>2</v>
      </c>
      <c r="AB155" s="13">
        <v>2</v>
      </c>
      <c r="AC155" s="13">
        <v>2</v>
      </c>
      <c r="AD155" s="13">
        <v>2</v>
      </c>
      <c r="AE155" s="13">
        <v>2</v>
      </c>
      <c r="AF155" s="13">
        <v>2</v>
      </c>
      <c r="AG155" s="13">
        <v>2</v>
      </c>
      <c r="AH155" s="13">
        <v>2</v>
      </c>
      <c r="AI155" s="13">
        <v>2</v>
      </c>
      <c r="AJ155" s="13">
        <v>2</v>
      </c>
      <c r="AK155" s="13">
        <v>2</v>
      </c>
    </row>
    <row r="156" spans="1:37" ht="12" customHeight="1">
      <c r="A156" s="13" t="s">
        <v>798</v>
      </c>
      <c r="B156" s="13" t="s">
        <v>717</v>
      </c>
      <c r="C156" s="35" t="str">
        <f t="shared" si="38"/>
        <v>pd</v>
      </c>
      <c r="D156" s="13" t="s">
        <v>88</v>
      </c>
      <c r="E156" s="13" t="s">
        <v>731</v>
      </c>
      <c r="G156" s="39"/>
      <c r="H156" s="39"/>
      <c r="I156" s="39"/>
      <c r="J156" s="15">
        <v>2</v>
      </c>
      <c r="K156" s="15">
        <v>2</v>
      </c>
      <c r="L156" s="15">
        <v>2</v>
      </c>
      <c r="M156" s="15">
        <v>2</v>
      </c>
      <c r="N156" s="13">
        <v>2</v>
      </c>
      <c r="O156" s="13">
        <v>2</v>
      </c>
      <c r="P156" s="13">
        <v>2</v>
      </c>
      <c r="Q156" s="13">
        <v>2</v>
      </c>
      <c r="R156" s="13">
        <v>3</v>
      </c>
      <c r="S156" s="13">
        <v>5</v>
      </c>
      <c r="T156" s="13">
        <v>5</v>
      </c>
      <c r="U156" s="13">
        <v>5</v>
      </c>
      <c r="V156" s="13">
        <v>5</v>
      </c>
      <c r="W156" s="13">
        <v>5</v>
      </c>
      <c r="X156" s="13">
        <v>5</v>
      </c>
      <c r="Y156" s="13">
        <v>5</v>
      </c>
      <c r="Z156" s="13">
        <v>5</v>
      </c>
      <c r="AA156" s="13">
        <v>5</v>
      </c>
      <c r="AB156" s="13">
        <v>5</v>
      </c>
      <c r="AC156" s="13">
        <v>5</v>
      </c>
      <c r="AD156" s="13">
        <v>5</v>
      </c>
      <c r="AE156" s="13">
        <v>5</v>
      </c>
      <c r="AF156" s="13">
        <v>5</v>
      </c>
      <c r="AG156" s="13">
        <v>5</v>
      </c>
      <c r="AH156" s="13">
        <v>5</v>
      </c>
      <c r="AI156" s="13">
        <v>5</v>
      </c>
      <c r="AJ156" s="13">
        <v>5</v>
      </c>
      <c r="AK156" s="13">
        <v>5</v>
      </c>
    </row>
    <row r="157" spans="1:37" ht="12" customHeight="1">
      <c r="A157" s="13" t="s">
        <v>798</v>
      </c>
      <c r="B157" s="13" t="s">
        <v>717</v>
      </c>
      <c r="C157" s="35" t="str">
        <f t="shared" si="38"/>
        <v>pd</v>
      </c>
      <c r="D157" s="13" t="s">
        <v>88</v>
      </c>
      <c r="E157" s="13" t="s">
        <v>142</v>
      </c>
      <c r="G157" s="15">
        <v>5</v>
      </c>
      <c r="H157" s="15">
        <v>5</v>
      </c>
      <c r="I157" s="15">
        <v>5</v>
      </c>
      <c r="J157" s="15">
        <v>5</v>
      </c>
      <c r="K157" s="15">
        <v>5</v>
      </c>
      <c r="L157" s="15">
        <v>5</v>
      </c>
      <c r="M157" s="15">
        <v>5</v>
      </c>
      <c r="N157" s="13">
        <v>5</v>
      </c>
      <c r="O157" s="13">
        <v>10</v>
      </c>
      <c r="P157" s="13">
        <v>0</v>
      </c>
      <c r="Q157" s="13">
        <v>20</v>
      </c>
      <c r="R157" s="13">
        <v>15</v>
      </c>
      <c r="S157" s="13">
        <v>12</v>
      </c>
      <c r="T157" s="13">
        <v>15</v>
      </c>
      <c r="U157" s="13">
        <v>17</v>
      </c>
      <c r="V157" s="13">
        <v>20</v>
      </c>
      <c r="W157" s="13">
        <v>17</v>
      </c>
      <c r="X157" s="13">
        <v>17</v>
      </c>
      <c r="Y157" s="13">
        <v>17</v>
      </c>
      <c r="Z157" s="13">
        <v>17</v>
      </c>
      <c r="AA157" s="13">
        <v>17</v>
      </c>
      <c r="AB157" s="13">
        <v>17</v>
      </c>
      <c r="AC157" s="13">
        <v>17</v>
      </c>
      <c r="AD157" s="13">
        <v>17</v>
      </c>
      <c r="AE157" s="13">
        <v>17</v>
      </c>
      <c r="AF157" s="13">
        <v>17</v>
      </c>
      <c r="AG157" s="13">
        <v>17</v>
      </c>
      <c r="AH157" s="13">
        <v>17</v>
      </c>
      <c r="AI157" s="13">
        <v>17</v>
      </c>
      <c r="AJ157" s="13">
        <v>17</v>
      </c>
      <c r="AK157" s="13">
        <v>17</v>
      </c>
    </row>
    <row r="158" spans="1:40" ht="12" customHeight="1">
      <c r="A158" s="13" t="s">
        <v>798</v>
      </c>
      <c r="B158" s="13" t="s">
        <v>717</v>
      </c>
      <c r="C158" s="35" t="str">
        <f t="shared" si="38"/>
        <v>pd</v>
      </c>
      <c r="D158" s="13" t="s">
        <v>88</v>
      </c>
      <c r="E158" s="15" t="s">
        <v>151</v>
      </c>
      <c r="F158" s="39"/>
      <c r="G158" s="50">
        <v>0</v>
      </c>
      <c r="H158" s="50">
        <v>7</v>
      </c>
      <c r="I158" s="50">
        <v>0</v>
      </c>
      <c r="J158" s="50">
        <v>0</v>
      </c>
      <c r="K158" s="50">
        <v>0</v>
      </c>
      <c r="L158" s="50">
        <v>0</v>
      </c>
      <c r="M158" s="50">
        <v>8</v>
      </c>
      <c r="N158" s="13">
        <v>8</v>
      </c>
      <c r="O158" s="13">
        <v>0</v>
      </c>
      <c r="P158" s="13">
        <v>28</v>
      </c>
      <c r="V158" s="13">
        <v>6</v>
      </c>
      <c r="AL158" s="13">
        <v>32</v>
      </c>
      <c r="AM158" s="13">
        <v>32</v>
      </c>
      <c r="AN158" s="13">
        <v>32</v>
      </c>
    </row>
    <row r="159" spans="1:53" ht="12" customHeight="1">
      <c r="A159" s="45" t="str">
        <f>A155</f>
        <v>pro</v>
      </c>
      <c r="B159" s="45" t="str">
        <f>B158</f>
        <v>pd</v>
      </c>
      <c r="C159" s="45" t="str">
        <f t="shared" si="38"/>
        <v>pdT</v>
      </c>
      <c r="D159" s="70" t="str">
        <f>D155</f>
        <v>MFrance</v>
      </c>
      <c r="E159" s="47" t="str">
        <f>"TOTAL Avail: "&amp;D159</f>
        <v>TOTAL Avail: MFrance</v>
      </c>
      <c r="F159" s="49"/>
      <c r="G159" s="51" t="str">
        <f aca="true" t="shared" si="41" ref="G159:BA159">32-SUM(G151:G158)</f>
        <v>-8</v>
      </c>
      <c r="H159" s="51" t="str">
        <f t="shared" si="41"/>
        <v>0</v>
      </c>
      <c r="I159" s="51" t="str">
        <f t="shared" si="41"/>
        <v>-3</v>
      </c>
      <c r="J159" s="51" t="str">
        <f t="shared" si="41"/>
        <v>-5</v>
      </c>
      <c r="K159" s="51" t="str">
        <f t="shared" si="41"/>
        <v>-5</v>
      </c>
      <c r="L159" s="51" t="str">
        <f t="shared" si="41"/>
        <v>-2</v>
      </c>
      <c r="M159" s="51" t="str">
        <f t="shared" si="41"/>
        <v>-4</v>
      </c>
      <c r="N159" s="51" t="str">
        <f t="shared" si="41"/>
        <v>-4</v>
      </c>
      <c r="O159" s="51" t="str">
        <f t="shared" si="41"/>
        <v>1</v>
      </c>
      <c r="P159" s="51" t="str">
        <f t="shared" si="41"/>
        <v>-2</v>
      </c>
      <c r="Q159" s="51" t="str">
        <f t="shared" si="41"/>
        <v>0</v>
      </c>
      <c r="R159" s="51" t="str">
        <f t="shared" si="41"/>
        <v>0</v>
      </c>
      <c r="S159" s="51" t="str">
        <f t="shared" si="41"/>
        <v>0</v>
      </c>
      <c r="T159" s="51" t="str">
        <f t="shared" si="41"/>
        <v>0</v>
      </c>
      <c r="U159" s="51" t="str">
        <f t="shared" si="41"/>
        <v>-2</v>
      </c>
      <c r="V159" s="51" t="str">
        <f t="shared" si="41"/>
        <v>-8</v>
      </c>
      <c r="W159" s="51" t="str">
        <f t="shared" si="41"/>
        <v>0</v>
      </c>
      <c r="X159" s="51" t="str">
        <f t="shared" si="41"/>
        <v>-2</v>
      </c>
      <c r="Y159" s="51" t="str">
        <f t="shared" si="41"/>
        <v>0</v>
      </c>
      <c r="Z159" s="51" t="str">
        <f t="shared" si="41"/>
        <v>0</v>
      </c>
      <c r="AA159" s="51" t="str">
        <f t="shared" si="41"/>
        <v>0</v>
      </c>
      <c r="AB159" s="51" t="str">
        <f t="shared" si="41"/>
        <v>0</v>
      </c>
      <c r="AC159" s="51" t="str">
        <f t="shared" si="41"/>
        <v>-5</v>
      </c>
      <c r="AD159" s="51" t="str">
        <f t="shared" si="41"/>
        <v>-5</v>
      </c>
      <c r="AE159" s="51" t="str">
        <f t="shared" si="41"/>
        <v>-5</v>
      </c>
      <c r="AF159" s="51" t="str">
        <f t="shared" si="41"/>
        <v>-5</v>
      </c>
      <c r="AG159" s="51" t="str">
        <f t="shared" si="41"/>
        <v>-5</v>
      </c>
      <c r="AH159" s="51" t="str">
        <f t="shared" si="41"/>
        <v>-5</v>
      </c>
      <c r="AI159" s="51" t="str">
        <f t="shared" si="41"/>
        <v>-5</v>
      </c>
      <c r="AJ159" s="51" t="str">
        <f t="shared" si="41"/>
        <v>-5</v>
      </c>
      <c r="AK159" s="51" t="str">
        <f t="shared" si="41"/>
        <v>-5</v>
      </c>
      <c r="AL159" s="51" t="str">
        <f t="shared" si="41"/>
        <v>0</v>
      </c>
      <c r="AM159" s="51" t="str">
        <f t="shared" si="41"/>
        <v>0</v>
      </c>
      <c r="AN159" s="51" t="str">
        <f t="shared" si="41"/>
        <v>0</v>
      </c>
      <c r="AO159" s="51" t="str">
        <f t="shared" si="41"/>
        <v>32</v>
      </c>
      <c r="AP159" s="51" t="str">
        <f t="shared" si="41"/>
        <v>32</v>
      </c>
      <c r="AQ159" s="51" t="str">
        <f t="shared" si="41"/>
        <v>32</v>
      </c>
      <c r="AR159" s="51" t="str">
        <f t="shared" si="41"/>
        <v>32</v>
      </c>
      <c r="AS159" s="51" t="str">
        <f t="shared" si="41"/>
        <v>32</v>
      </c>
      <c r="AT159" s="51" t="str">
        <f t="shared" si="41"/>
        <v>32</v>
      </c>
      <c r="AU159" s="51" t="str">
        <f t="shared" si="41"/>
        <v>32</v>
      </c>
      <c r="AV159" s="51" t="str">
        <f t="shared" si="41"/>
        <v>32</v>
      </c>
      <c r="AW159" s="51" t="str">
        <f t="shared" si="41"/>
        <v>32</v>
      </c>
      <c r="AX159" s="51" t="str">
        <f t="shared" si="41"/>
        <v>32</v>
      </c>
      <c r="AY159" s="51" t="str">
        <f t="shared" si="41"/>
        <v>32</v>
      </c>
      <c r="AZ159" s="51" t="str">
        <f t="shared" si="41"/>
        <v>32</v>
      </c>
      <c r="BA159" s="51" t="str">
        <f t="shared" si="41"/>
        <v>32</v>
      </c>
    </row>
    <row r="160" spans="1:52" ht="12" customHeight="1">
      <c r="A160" s="13" t="s">
        <v>694</v>
      </c>
      <c r="B160" s="13" t="s">
        <v>594</v>
      </c>
      <c r="C160" s="35" t="str">
        <f t="shared" si="38"/>
        <v>ba</v>
      </c>
      <c r="D160" s="13" t="s">
        <v>819</v>
      </c>
      <c r="E160" s="13" t="s">
        <v>285</v>
      </c>
      <c r="O160" s="13">
        <v>0</v>
      </c>
      <c r="P160" s="15">
        <v>0</v>
      </c>
      <c r="Q160" s="15">
        <v>10</v>
      </c>
      <c r="R160" s="15">
        <v>10</v>
      </c>
      <c r="S160" s="15">
        <v>10</v>
      </c>
      <c r="T160" s="13">
        <v>2</v>
      </c>
      <c r="U160" s="13">
        <v>2</v>
      </c>
      <c r="V160" s="13">
        <v>2</v>
      </c>
      <c r="W160" s="13">
        <v>6</v>
      </c>
      <c r="X160" s="13">
        <v>6</v>
      </c>
      <c r="Y160" s="13">
        <v>6</v>
      </c>
      <c r="Z160" s="13">
        <v>6</v>
      </c>
      <c r="AA160" s="13">
        <v>6</v>
      </c>
      <c r="AB160" s="13">
        <v>6</v>
      </c>
      <c r="AC160" s="13">
        <v>6</v>
      </c>
      <c r="AD160" s="13">
        <v>6</v>
      </c>
      <c r="AJ160" s="13">
        <v>9.5</v>
      </c>
      <c r="AK160" s="13">
        <v>9.5</v>
      </c>
      <c r="AN160" s="13">
        <v>9.5</v>
      </c>
      <c r="AO160" s="13">
        <v>9.5</v>
      </c>
      <c r="AP160" s="13">
        <v>9.5</v>
      </c>
      <c r="AQ160" s="13">
        <v>9.5</v>
      </c>
      <c r="AR160" s="13">
        <v>9.5</v>
      </c>
      <c r="AS160" s="13">
        <v>9.5</v>
      </c>
      <c r="AT160" s="13">
        <v>9.5</v>
      </c>
      <c r="AU160" s="13">
        <v>9.5</v>
      </c>
      <c r="AV160" s="13">
        <v>9.5</v>
      </c>
      <c r="AW160" s="13">
        <v>9.5</v>
      </c>
      <c r="AX160" s="13">
        <v>9.5</v>
      </c>
      <c r="AY160" s="13">
        <v>9.5</v>
      </c>
      <c r="AZ160" s="13">
        <v>9.5</v>
      </c>
    </row>
    <row r="161" spans="1:39" ht="12" customHeight="1">
      <c r="A161" s="13" t="s">
        <v>694</v>
      </c>
      <c r="B161" s="13" t="s">
        <v>594</v>
      </c>
      <c r="C161" s="35" t="str">
        <f t="shared" si="38"/>
        <v>ba</v>
      </c>
      <c r="D161" s="13" t="s">
        <v>821</v>
      </c>
      <c r="E161" s="15" t="s">
        <v>151</v>
      </c>
      <c r="F161" s="39"/>
      <c r="G161" s="50">
        <v>7</v>
      </c>
      <c r="H161" s="50">
        <v>7</v>
      </c>
      <c r="I161" s="50">
        <v>0</v>
      </c>
      <c r="J161" s="50">
        <v>0</v>
      </c>
      <c r="K161" s="50">
        <v>0</v>
      </c>
      <c r="L161" s="50">
        <v>0</v>
      </c>
      <c r="M161" s="50">
        <v>0</v>
      </c>
      <c r="N161" s="50">
        <v>0</v>
      </c>
      <c r="O161" s="50">
        <v>0</v>
      </c>
      <c r="P161" s="50">
        <v>0</v>
      </c>
      <c r="Q161" s="13">
        <v>0</v>
      </c>
      <c r="R161" s="13">
        <v>0</v>
      </c>
      <c r="S161" s="13">
        <v>0</v>
      </c>
      <c r="T161" s="13">
        <v>0</v>
      </c>
      <c r="U161" s="13">
        <v>0</v>
      </c>
      <c r="V161" s="13">
        <v>6</v>
      </c>
      <c r="AL161" s="13">
        <v>9.5</v>
      </c>
      <c r="AM161" s="13">
        <v>9.5</v>
      </c>
    </row>
    <row r="162" spans="1:53" ht="12" customHeight="1">
      <c r="A162" s="45" t="str">
        <f>A161</f>
        <v>svc</v>
      </c>
      <c r="B162" s="57" t="s">
        <v>594</v>
      </c>
      <c r="C162" s="45" t="str">
        <f t="shared" si="38"/>
        <v>baT</v>
      </c>
      <c r="D162" s="70" t="str">
        <f>D161</f>
        <v>KSheriden</v>
      </c>
      <c r="E162" s="47" t="str">
        <f>"TOTAL Avail: "&amp;D162</f>
        <v>TOTAL Avail: KSheriden</v>
      </c>
      <c r="F162" s="49"/>
      <c r="G162" s="51" t="str">
        <f aca="true" t="shared" si="42" ref="G162:L162">32-SUM(G152:G161)</f>
        <v>-2</v>
      </c>
      <c r="H162" s="51" t="str">
        <f t="shared" si="42"/>
        <v>-2</v>
      </c>
      <c r="I162" s="51" t="str">
        <f t="shared" si="42"/>
        <v>5</v>
      </c>
      <c r="J162" s="51" t="str">
        <f t="shared" si="42"/>
        <v>5</v>
      </c>
      <c r="K162" s="51" t="str">
        <f t="shared" si="42"/>
        <v>5</v>
      </c>
      <c r="L162" s="51" t="str">
        <f t="shared" si="42"/>
        <v>5</v>
      </c>
      <c r="M162" s="315">
        <v>0</v>
      </c>
      <c r="N162" s="315">
        <v>0</v>
      </c>
      <c r="O162" s="315">
        <v>0</v>
      </c>
      <c r="P162" s="315">
        <v>0</v>
      </c>
      <c r="Q162" s="315">
        <v>0</v>
      </c>
      <c r="R162" s="315">
        <v>0</v>
      </c>
      <c r="S162" s="315">
        <v>0</v>
      </c>
      <c r="T162" s="315">
        <v>0</v>
      </c>
      <c r="U162" s="315">
        <v>0</v>
      </c>
      <c r="V162" s="315">
        <v>0</v>
      </c>
      <c r="W162" s="315">
        <v>0</v>
      </c>
      <c r="X162" s="315">
        <v>0</v>
      </c>
      <c r="Y162" s="315">
        <v>0</v>
      </c>
      <c r="Z162" s="315">
        <v>0</v>
      </c>
      <c r="AA162" s="315">
        <v>0</v>
      </c>
      <c r="AB162" s="315">
        <v>0</v>
      </c>
      <c r="AC162" s="51" t="str">
        <f aca="true" t="shared" si="43" ref="AC162:AJ162">32-SUM(AC152:AC161)</f>
        <v>-6</v>
      </c>
      <c r="AD162" s="51" t="str">
        <f t="shared" si="43"/>
        <v>-6</v>
      </c>
      <c r="AE162" s="51" t="str">
        <f t="shared" si="43"/>
        <v>0</v>
      </c>
      <c r="AF162" s="51" t="str">
        <f t="shared" si="43"/>
        <v>0</v>
      </c>
      <c r="AG162" s="51" t="str">
        <f t="shared" si="43"/>
        <v>0</v>
      </c>
      <c r="AH162" s="51" t="str">
        <f t="shared" si="43"/>
        <v>0</v>
      </c>
      <c r="AI162" s="51" t="str">
        <f t="shared" si="43"/>
        <v>0</v>
      </c>
      <c r="AJ162" s="51" t="str">
        <f t="shared" si="43"/>
        <v>-9.5</v>
      </c>
      <c r="AK162" s="51" t="str">
        <f aca="true" t="shared" si="44" ref="AK162:BA162">9.5-SUM(AK160:AK161)</f>
        <v>0</v>
      </c>
      <c r="AL162" s="51" t="str">
        <f t="shared" si="44"/>
        <v>0</v>
      </c>
      <c r="AM162" s="51" t="str">
        <f t="shared" si="44"/>
        <v>0</v>
      </c>
      <c r="AN162" s="51" t="str">
        <f t="shared" si="44"/>
        <v>0</v>
      </c>
      <c r="AO162" s="51" t="str">
        <f t="shared" si="44"/>
        <v>0</v>
      </c>
      <c r="AP162" s="51" t="str">
        <f t="shared" si="44"/>
        <v>0</v>
      </c>
      <c r="AQ162" s="51" t="str">
        <f t="shared" si="44"/>
        <v>0</v>
      </c>
      <c r="AR162" s="51" t="str">
        <f t="shared" si="44"/>
        <v>0</v>
      </c>
      <c r="AS162" s="51" t="str">
        <f t="shared" si="44"/>
        <v>0</v>
      </c>
      <c r="AT162" s="51" t="str">
        <f t="shared" si="44"/>
        <v>0</v>
      </c>
      <c r="AU162" s="51" t="str">
        <f t="shared" si="44"/>
        <v>0</v>
      </c>
      <c r="AV162" s="51" t="str">
        <f t="shared" si="44"/>
        <v>0</v>
      </c>
      <c r="AW162" s="51" t="str">
        <f t="shared" si="44"/>
        <v>0</v>
      </c>
      <c r="AX162" s="51" t="str">
        <f t="shared" si="44"/>
        <v>0</v>
      </c>
      <c r="AY162" s="51" t="str">
        <f t="shared" si="44"/>
        <v>0</v>
      </c>
      <c r="AZ162" s="51" t="str">
        <f t="shared" si="44"/>
        <v>0</v>
      </c>
      <c r="BA162" s="51" t="str">
        <f t="shared" si="44"/>
        <v>9.5</v>
      </c>
    </row>
    <row r="163" spans="1:36" ht="12" customHeight="1">
      <c r="A163" s="13" t="s">
        <v>694</v>
      </c>
      <c r="B163" s="13" t="s">
        <v>805</v>
      </c>
      <c r="C163" s="35" t="str">
        <f t="shared" si="38"/>
        <v>oth</v>
      </c>
      <c r="D163" s="13" t="s">
        <v>75</v>
      </c>
      <c r="E163" s="13" t="s">
        <v>167</v>
      </c>
      <c r="G163" s="15">
        <v>5</v>
      </c>
      <c r="H163" s="15">
        <v>5</v>
      </c>
      <c r="I163" s="15">
        <v>12</v>
      </c>
      <c r="J163" s="15">
        <v>6</v>
      </c>
      <c r="K163" s="15">
        <v>6</v>
      </c>
      <c r="L163" s="15">
        <v>6</v>
      </c>
      <c r="M163" s="13">
        <v>6</v>
      </c>
      <c r="N163" s="13">
        <v>0</v>
      </c>
      <c r="O163" s="13">
        <v>6</v>
      </c>
      <c r="U163" s="13">
        <v>7</v>
      </c>
      <c r="V163" s="13">
        <v>7</v>
      </c>
      <c r="W163" s="13">
        <v>7</v>
      </c>
      <c r="X163" s="13">
        <v>7</v>
      </c>
      <c r="Y163" s="13">
        <v>7</v>
      </c>
      <c r="Z163" s="13">
        <v>4</v>
      </c>
      <c r="AA163" s="13">
        <v>7</v>
      </c>
      <c r="AB163" s="13">
        <v>7</v>
      </c>
      <c r="AC163" s="13">
        <v>7</v>
      </c>
      <c r="AD163" s="13">
        <v>7</v>
      </c>
      <c r="AE163" s="13">
        <v>7</v>
      </c>
      <c r="AF163" s="13">
        <v>7</v>
      </c>
      <c r="AG163" s="13">
        <v>7</v>
      </c>
      <c r="AH163" s="13">
        <v>7</v>
      </c>
      <c r="AI163" s="13">
        <v>7</v>
      </c>
      <c r="AJ163" s="13">
        <v>7</v>
      </c>
    </row>
    <row r="164" spans="1:32" ht="12" customHeight="1">
      <c r="A164" s="13" t="s">
        <v>694</v>
      </c>
      <c r="B164" s="13" t="s">
        <v>805</v>
      </c>
      <c r="C164" s="35" t="str">
        <f t="shared" si="38"/>
        <v>oth</v>
      </c>
      <c r="D164" s="13" t="s">
        <v>75</v>
      </c>
      <c r="E164" s="13" t="s">
        <v>271</v>
      </c>
      <c r="F164" s="13" t="s">
        <v>848</v>
      </c>
      <c r="G164" s="15">
        <v>8</v>
      </c>
      <c r="H164" s="15">
        <v>8</v>
      </c>
      <c r="I164" s="15">
        <v>2</v>
      </c>
      <c r="J164" s="15">
        <v>2</v>
      </c>
      <c r="K164" s="15">
        <v>4</v>
      </c>
      <c r="L164" s="15">
        <v>4</v>
      </c>
      <c r="M164" s="13">
        <v>2</v>
      </c>
      <c r="N164" s="13">
        <v>0</v>
      </c>
      <c r="AE164" s="13">
        <v>4</v>
      </c>
      <c r="AF164" s="13">
        <v>5</v>
      </c>
    </row>
    <row r="165" spans="1:52" ht="12" customHeight="1">
      <c r="A165" s="13" t="s">
        <v>694</v>
      </c>
      <c r="B165" s="13" t="s">
        <v>805</v>
      </c>
      <c r="C165" s="35" t="str">
        <f t="shared" si="38"/>
        <v>oth</v>
      </c>
      <c r="D165" s="13" t="s">
        <v>75</v>
      </c>
      <c r="E165" s="13" t="s">
        <v>285</v>
      </c>
      <c r="G165" s="15">
        <v>1</v>
      </c>
      <c r="H165" s="15">
        <v>1</v>
      </c>
      <c r="I165" s="15">
        <v>1</v>
      </c>
      <c r="J165" s="15">
        <v>1</v>
      </c>
      <c r="K165" s="15">
        <v>1</v>
      </c>
      <c r="L165" s="15">
        <v>0</v>
      </c>
      <c r="M165" s="15">
        <v>2</v>
      </c>
      <c r="N165" s="15">
        <v>2</v>
      </c>
      <c r="O165" s="15">
        <v>5</v>
      </c>
      <c r="P165" s="15">
        <v>2</v>
      </c>
      <c r="Q165" s="39"/>
      <c r="R165" s="15">
        <v>6</v>
      </c>
      <c r="U165" s="13">
        <v>2</v>
      </c>
      <c r="V165" s="13">
        <v>2</v>
      </c>
      <c r="Y165" s="13">
        <v>2</v>
      </c>
      <c r="AJ165" s="13">
        <v>2</v>
      </c>
      <c r="AK165" s="13">
        <v>2</v>
      </c>
      <c r="AN165" s="13">
        <v>2</v>
      </c>
      <c r="AO165" s="13">
        <v>2</v>
      </c>
      <c r="AP165" s="13">
        <v>2</v>
      </c>
      <c r="AQ165" s="13">
        <v>2</v>
      </c>
      <c r="AR165" s="13">
        <v>2</v>
      </c>
      <c r="AS165" s="13">
        <v>2</v>
      </c>
      <c r="AT165" s="13">
        <v>2</v>
      </c>
      <c r="AU165" s="13">
        <v>2</v>
      </c>
      <c r="AV165" s="13">
        <v>2</v>
      </c>
      <c r="AW165" s="13">
        <v>2</v>
      </c>
      <c r="AX165" s="13">
        <v>2</v>
      </c>
      <c r="AY165" s="13">
        <v>2</v>
      </c>
      <c r="AZ165" s="13">
        <v>2</v>
      </c>
    </row>
    <row r="166" spans="1:29" ht="12" customHeight="1">
      <c r="A166" s="13" t="s">
        <v>694</v>
      </c>
      <c r="B166" s="13" t="s">
        <v>805</v>
      </c>
      <c r="C166" s="35" t="str">
        <f t="shared" si="38"/>
        <v>oth</v>
      </c>
      <c r="D166" s="13" t="s">
        <v>75</v>
      </c>
      <c r="E166" s="13" t="s">
        <v>729</v>
      </c>
      <c r="F166" s="13" t="s">
        <v>834</v>
      </c>
      <c r="G166" s="39"/>
      <c r="H166" s="39"/>
      <c r="I166" s="39"/>
      <c r="J166" s="39"/>
      <c r="K166" s="39"/>
      <c r="L166" s="39"/>
      <c r="M166" s="39"/>
      <c r="O166" s="13">
        <v>8</v>
      </c>
      <c r="P166" s="13">
        <v>8</v>
      </c>
      <c r="Q166" s="13">
        <v>4</v>
      </c>
      <c r="R166" s="13">
        <v>2</v>
      </c>
      <c r="S166" s="13">
        <v>4</v>
      </c>
      <c r="T166" s="13">
        <v>4</v>
      </c>
      <c r="U166" s="13">
        <v>2</v>
      </c>
      <c r="W166" s="13">
        <v>2</v>
      </c>
      <c r="X166" s="13">
        <v>2</v>
      </c>
      <c r="Y166" s="13">
        <v>2</v>
      </c>
      <c r="AC166" s="13">
        <v>2</v>
      </c>
    </row>
    <row r="167" spans="1:29" ht="12" customHeight="1">
      <c r="A167" s="13" t="s">
        <v>694</v>
      </c>
      <c r="B167" s="13" t="s">
        <v>805</v>
      </c>
      <c r="C167" s="35" t="str">
        <f t="shared" si="38"/>
        <v>oth</v>
      </c>
      <c r="D167" s="13" t="s">
        <v>75</v>
      </c>
      <c r="E167" s="13" t="s">
        <v>849</v>
      </c>
      <c r="F167" s="15" t="s">
        <v>784</v>
      </c>
      <c r="G167" s="15">
        <v>15</v>
      </c>
      <c r="H167" s="15">
        <v>10</v>
      </c>
      <c r="I167" s="15">
        <v>10</v>
      </c>
      <c r="J167" s="15">
        <v>10</v>
      </c>
      <c r="K167" s="15">
        <v>10</v>
      </c>
      <c r="L167" s="15">
        <v>10</v>
      </c>
      <c r="M167" s="15">
        <v>10</v>
      </c>
      <c r="N167" s="13">
        <v>10</v>
      </c>
      <c r="O167" s="13">
        <v>5</v>
      </c>
      <c r="P167" s="13">
        <v>2</v>
      </c>
      <c r="Q167" s="13">
        <v>2</v>
      </c>
      <c r="T167" s="13">
        <v>4</v>
      </c>
      <c r="U167" s="13">
        <v>4</v>
      </c>
      <c r="V167" s="13">
        <v>4</v>
      </c>
      <c r="W167" s="13">
        <v>4</v>
      </c>
      <c r="X167" s="13">
        <v>4</v>
      </c>
      <c r="Y167" s="13">
        <v>4</v>
      </c>
      <c r="Z167" s="13">
        <v>0</v>
      </c>
      <c r="AA167" s="13">
        <v>0</v>
      </c>
      <c r="AB167" s="13">
        <v>2</v>
      </c>
      <c r="AC167" s="13">
        <v>2</v>
      </c>
    </row>
    <row r="168" spans="1:36" ht="12" customHeight="1">
      <c r="A168" s="13" t="s">
        <v>694</v>
      </c>
      <c r="B168" s="13" t="s">
        <v>805</v>
      </c>
      <c r="C168" s="35" t="str">
        <f t="shared" si="38"/>
        <v>oth</v>
      </c>
      <c r="D168" s="13" t="s">
        <v>75</v>
      </c>
      <c r="E168" s="13" t="s">
        <v>384</v>
      </c>
      <c r="G168" s="39"/>
      <c r="H168" s="39"/>
      <c r="I168" s="39"/>
      <c r="J168" s="39"/>
      <c r="K168" s="39"/>
      <c r="L168" s="39"/>
      <c r="V168" s="13">
        <v>2</v>
      </c>
      <c r="W168" s="13">
        <v>1</v>
      </c>
      <c r="X168" s="13">
        <v>2</v>
      </c>
      <c r="Y168" s="13">
        <v>2</v>
      </c>
      <c r="Z168" s="13">
        <v>2</v>
      </c>
      <c r="AA168" s="13">
        <v>2</v>
      </c>
      <c r="AB168" s="13">
        <v>2</v>
      </c>
      <c r="AC168" s="13">
        <v>2</v>
      </c>
      <c r="AD168" s="13">
        <v>2</v>
      </c>
      <c r="AE168" s="13">
        <v>2</v>
      </c>
      <c r="AF168" s="13">
        <v>2</v>
      </c>
      <c r="AG168" s="13">
        <v>2</v>
      </c>
      <c r="AH168" s="13">
        <v>2</v>
      </c>
      <c r="AI168" s="13">
        <v>2</v>
      </c>
      <c r="AJ168" s="13">
        <v>2</v>
      </c>
    </row>
    <row r="169" spans="1:26" ht="12" customHeight="1">
      <c r="A169" s="13" t="s">
        <v>694</v>
      </c>
      <c r="B169" s="13" t="s">
        <v>805</v>
      </c>
      <c r="C169" s="35" t="str">
        <f t="shared" si="38"/>
        <v>oth</v>
      </c>
      <c r="D169" s="13" t="s">
        <v>75</v>
      </c>
      <c r="E169" s="13" t="s">
        <v>602</v>
      </c>
      <c r="G169" s="15">
        <v>10</v>
      </c>
      <c r="H169" s="15">
        <v>10</v>
      </c>
      <c r="I169" s="15">
        <v>8</v>
      </c>
      <c r="J169" s="15">
        <v>8</v>
      </c>
      <c r="K169" s="15">
        <v>8</v>
      </c>
      <c r="L169" s="15">
        <v>8</v>
      </c>
      <c r="N169" s="13">
        <v>0</v>
      </c>
      <c r="O169" s="13">
        <v>8</v>
      </c>
      <c r="P169" s="13">
        <v>8</v>
      </c>
      <c r="Q169" s="13">
        <v>8</v>
      </c>
      <c r="R169" s="13">
        <v>8</v>
      </c>
      <c r="S169" s="13">
        <v>8</v>
      </c>
      <c r="T169" s="13">
        <v>8</v>
      </c>
      <c r="U169" s="13">
        <v>8</v>
      </c>
      <c r="X169" s="13">
        <v>2</v>
      </c>
      <c r="Y169" s="13">
        <v>2</v>
      </c>
      <c r="Z169" s="13">
        <v>2</v>
      </c>
    </row>
    <row r="170" spans="1:32" ht="12" customHeight="1">
      <c r="A170" s="13" t="s">
        <v>694</v>
      </c>
      <c r="B170" s="13" t="s">
        <v>805</v>
      </c>
      <c r="C170" s="35" t="str">
        <f t="shared" si="38"/>
        <v>oth</v>
      </c>
      <c r="D170" s="13" t="s">
        <v>75</v>
      </c>
      <c r="E170" s="13" t="s">
        <v>850</v>
      </c>
      <c r="F170" s="13" t="s">
        <v>851</v>
      </c>
      <c r="G170" s="39"/>
      <c r="H170" s="39"/>
      <c r="I170" s="39"/>
      <c r="J170" s="39"/>
      <c r="K170" s="39"/>
      <c r="L170" s="39"/>
      <c r="AE170" s="13">
        <v>2</v>
      </c>
      <c r="AF170" s="13">
        <v>8</v>
      </c>
    </row>
    <row r="171" spans="1:34" ht="12" customHeight="1">
      <c r="A171" s="13" t="s">
        <v>694</v>
      </c>
      <c r="B171" s="13" t="s">
        <v>805</v>
      </c>
      <c r="C171" s="13" t="s">
        <v>703</v>
      </c>
      <c r="D171" s="13" t="s">
        <v>75</v>
      </c>
      <c r="E171" s="13" t="s">
        <v>852</v>
      </c>
      <c r="G171" s="39"/>
      <c r="H171" s="39"/>
      <c r="I171" s="39"/>
      <c r="J171" s="39"/>
      <c r="K171" s="39"/>
      <c r="L171" s="39"/>
      <c r="W171" s="13">
        <v>4</v>
      </c>
      <c r="X171" s="13">
        <v>4</v>
      </c>
      <c r="Y171" s="13">
        <v>4</v>
      </c>
      <c r="Z171" s="13">
        <v>4</v>
      </c>
      <c r="AD171" s="13">
        <v>4</v>
      </c>
      <c r="AE171" s="13">
        <v>4</v>
      </c>
      <c r="AF171" s="13">
        <v>4</v>
      </c>
      <c r="AG171" s="13">
        <v>4</v>
      </c>
      <c r="AH171" s="13">
        <v>4</v>
      </c>
    </row>
    <row r="172" spans="1:36" ht="12" customHeight="1">
      <c r="A172" s="13" t="s">
        <v>694</v>
      </c>
      <c r="B172" s="13" t="s">
        <v>805</v>
      </c>
      <c r="E172" s="13" t="s">
        <v>853</v>
      </c>
      <c r="G172" s="39"/>
      <c r="H172" s="39"/>
      <c r="I172" s="39"/>
      <c r="J172" s="39"/>
      <c r="K172" s="39"/>
      <c r="L172" s="39"/>
      <c r="V172" s="13">
        <v>2</v>
      </c>
      <c r="W172" s="13">
        <v>2</v>
      </c>
      <c r="X172" s="13">
        <v>2</v>
      </c>
      <c r="Y172" s="13">
        <v>2</v>
      </c>
      <c r="Z172" s="13">
        <v>0</v>
      </c>
      <c r="AA172" s="13">
        <v>2</v>
      </c>
      <c r="AB172" s="13">
        <v>2</v>
      </c>
      <c r="AC172" s="13">
        <v>2</v>
      </c>
      <c r="AD172" s="13">
        <v>2</v>
      </c>
      <c r="AE172" s="13">
        <v>2</v>
      </c>
      <c r="AF172" s="13">
        <v>2</v>
      </c>
      <c r="AG172" s="13">
        <v>2</v>
      </c>
      <c r="AH172" s="13">
        <v>2</v>
      </c>
      <c r="AI172" s="13">
        <v>2</v>
      </c>
      <c r="AJ172" s="13">
        <v>2</v>
      </c>
    </row>
    <row r="173" spans="1:40" ht="12" customHeight="1">
      <c r="A173" s="13" t="s">
        <v>694</v>
      </c>
      <c r="B173" s="13" t="s">
        <v>805</v>
      </c>
      <c r="C173" s="35" t="str">
        <f aca="true" t="shared" si="45" ref="C173:C175">B173&amp;IF(LEFT(E173,5)="TOTAL","T","")</f>
        <v>oth</v>
      </c>
      <c r="D173" s="13" t="s">
        <v>75</v>
      </c>
      <c r="E173" s="15" t="s">
        <v>151</v>
      </c>
      <c r="F173" s="39"/>
      <c r="G173" s="50">
        <v>0</v>
      </c>
      <c r="H173" s="50">
        <v>7</v>
      </c>
      <c r="I173" s="50">
        <v>0</v>
      </c>
      <c r="J173" s="50">
        <v>0</v>
      </c>
      <c r="K173" s="50">
        <v>0</v>
      </c>
      <c r="L173" s="50">
        <v>0</v>
      </c>
      <c r="M173" s="13">
        <v>16</v>
      </c>
      <c r="N173" s="13">
        <v>32</v>
      </c>
      <c r="V173" s="13">
        <v>6</v>
      </c>
      <c r="Z173" s="13">
        <v>18</v>
      </c>
      <c r="AI173" s="13">
        <v>16</v>
      </c>
      <c r="AJ173" s="13">
        <v>16</v>
      </c>
      <c r="AM173" s="13">
        <v>32</v>
      </c>
      <c r="AN173" s="13">
        <v>32</v>
      </c>
    </row>
    <row r="174" spans="1:34" ht="12" customHeight="1">
      <c r="A174" s="13" t="s">
        <v>694</v>
      </c>
      <c r="B174" s="13" t="s">
        <v>805</v>
      </c>
      <c r="C174" s="35" t="str">
        <f t="shared" si="45"/>
        <v>oth</v>
      </c>
      <c r="D174" s="13" t="s">
        <v>75</v>
      </c>
      <c r="E174" s="13" t="s">
        <v>711</v>
      </c>
      <c r="G174" s="15">
        <v>0</v>
      </c>
      <c r="H174" s="15">
        <v>0</v>
      </c>
      <c r="I174" s="15">
        <v>10</v>
      </c>
      <c r="J174" s="15">
        <v>10</v>
      </c>
      <c r="K174" s="15">
        <v>5</v>
      </c>
      <c r="L174" s="15">
        <v>5</v>
      </c>
      <c r="M174" s="15">
        <v>2</v>
      </c>
      <c r="N174" s="13">
        <v>2</v>
      </c>
      <c r="O174" s="13">
        <v>2</v>
      </c>
      <c r="P174" s="13">
        <v>5</v>
      </c>
      <c r="Q174" s="13">
        <v>10</v>
      </c>
      <c r="R174" s="13">
        <v>15</v>
      </c>
      <c r="S174" s="13">
        <v>10</v>
      </c>
      <c r="T174" s="13">
        <v>5</v>
      </c>
      <c r="U174" s="13">
        <v>2</v>
      </c>
      <c r="W174" s="13">
        <v>10</v>
      </c>
      <c r="X174" s="13">
        <v>4</v>
      </c>
      <c r="Y174" s="13">
        <v>10</v>
      </c>
      <c r="AA174" s="13">
        <v>8</v>
      </c>
      <c r="AB174" s="13">
        <v>8</v>
      </c>
      <c r="AE174" s="13">
        <v>8</v>
      </c>
      <c r="AF174" s="13">
        <v>8</v>
      </c>
      <c r="AG174" s="13">
        <v>8</v>
      </c>
      <c r="AH174" s="13">
        <v>8</v>
      </c>
    </row>
    <row r="175" spans="1:36" ht="12" customHeight="1">
      <c r="A175" s="13" t="s">
        <v>694</v>
      </c>
      <c r="B175" s="13" t="s">
        <v>805</v>
      </c>
      <c r="C175" s="35" t="str">
        <f t="shared" si="45"/>
        <v>oth</v>
      </c>
      <c r="D175" s="13" t="s">
        <v>75</v>
      </c>
      <c r="E175" s="13" t="s">
        <v>712</v>
      </c>
      <c r="F175" s="13" t="s">
        <v>854</v>
      </c>
      <c r="G175" s="39"/>
      <c r="H175" s="39"/>
      <c r="I175" s="15">
        <v>2</v>
      </c>
      <c r="J175" s="15">
        <v>5</v>
      </c>
      <c r="K175" s="15">
        <v>5</v>
      </c>
      <c r="L175" s="15">
        <v>5</v>
      </c>
      <c r="M175" s="15">
        <v>5</v>
      </c>
      <c r="N175" s="13">
        <v>10</v>
      </c>
      <c r="O175" s="13">
        <v>2</v>
      </c>
      <c r="P175" s="13">
        <v>5</v>
      </c>
      <c r="Q175" s="13">
        <v>5</v>
      </c>
      <c r="R175" s="13">
        <v>5</v>
      </c>
      <c r="S175" s="13">
        <v>5</v>
      </c>
      <c r="T175" s="13">
        <v>5</v>
      </c>
      <c r="U175" s="13">
        <v>10</v>
      </c>
      <c r="V175" s="13">
        <v>10</v>
      </c>
      <c r="W175" s="13">
        <v>10</v>
      </c>
      <c r="X175" s="13">
        <v>7</v>
      </c>
      <c r="Y175" s="13">
        <v>7</v>
      </c>
      <c r="Z175" s="13">
        <v>5</v>
      </c>
      <c r="AA175" s="13">
        <v>7</v>
      </c>
      <c r="AB175" s="13">
        <v>7</v>
      </c>
      <c r="AC175" s="13">
        <v>7</v>
      </c>
      <c r="AD175" s="13">
        <v>7</v>
      </c>
      <c r="AE175" s="13">
        <v>7</v>
      </c>
      <c r="AF175" s="13">
        <v>7</v>
      </c>
      <c r="AG175" s="13">
        <v>10</v>
      </c>
      <c r="AH175" s="13">
        <v>10</v>
      </c>
      <c r="AI175" s="13">
        <v>10</v>
      </c>
      <c r="AJ175" s="13">
        <v>10</v>
      </c>
    </row>
    <row r="176" spans="1:24" ht="12" customHeight="1">
      <c r="A176" s="13" t="s">
        <v>694</v>
      </c>
      <c r="B176" s="13" t="s">
        <v>805</v>
      </c>
      <c r="D176" s="13" t="s">
        <v>75</v>
      </c>
      <c r="E176" s="15" t="s">
        <v>174</v>
      </c>
      <c r="F176" s="15" t="s">
        <v>855</v>
      </c>
      <c r="G176" s="141"/>
      <c r="H176" s="141"/>
      <c r="I176" s="141"/>
      <c r="J176" s="141"/>
      <c r="K176" s="141"/>
      <c r="L176" s="141"/>
      <c r="M176" s="141"/>
      <c r="P176" s="13">
        <v>10</v>
      </c>
      <c r="Q176" s="13">
        <v>24</v>
      </c>
      <c r="R176" s="13">
        <v>2</v>
      </c>
      <c r="S176" s="13">
        <v>2</v>
      </c>
      <c r="T176" s="13">
        <v>2</v>
      </c>
      <c r="W176" s="13">
        <v>5</v>
      </c>
      <c r="X176" s="13">
        <v>3</v>
      </c>
    </row>
    <row r="177" spans="1:53" ht="14.25" customHeight="1">
      <c r="A177" s="45" t="str">
        <f>A169</f>
        <v>svc</v>
      </c>
      <c r="B177" s="57" t="s">
        <v>805</v>
      </c>
      <c r="C177" s="45" t="str">
        <f aca="true" t="shared" si="46" ref="C177:C185">B177&amp;IF(LEFT(E177,5)="TOTAL","T","")</f>
        <v>othT</v>
      </c>
      <c r="D177" s="70" t="str">
        <f>D169</f>
        <v>BHemphill</v>
      </c>
      <c r="E177" s="47" t="str">
        <f>"TOTAL Avail: "&amp;D177</f>
        <v>TOTAL Avail: BHemphill</v>
      </c>
      <c r="F177" s="49"/>
      <c r="G177" s="51" t="str">
        <f aca="true" t="shared" si="47" ref="G177:L177">32-SUM(G163:G173)</f>
        <v>-7</v>
      </c>
      <c r="H177" s="51" t="str">
        <f t="shared" si="47"/>
        <v>-9</v>
      </c>
      <c r="I177" s="51" t="str">
        <f t="shared" si="47"/>
        <v>-1</v>
      </c>
      <c r="J177" s="51" t="str">
        <f t="shared" si="47"/>
        <v>5</v>
      </c>
      <c r="K177" s="51" t="str">
        <f t="shared" si="47"/>
        <v>3</v>
      </c>
      <c r="L177" s="51" t="str">
        <f t="shared" si="47"/>
        <v>4</v>
      </c>
      <c r="M177" s="51" t="str">
        <f aca="true" t="shared" si="48" ref="M177:BA177">32-SUM(M163:M176)</f>
        <v>-11</v>
      </c>
      <c r="N177" s="51" t="str">
        <f t="shared" si="48"/>
        <v>-24</v>
      </c>
      <c r="O177" s="51" t="str">
        <f t="shared" si="48"/>
        <v>-4</v>
      </c>
      <c r="P177" s="51" t="str">
        <f t="shared" si="48"/>
        <v>-8</v>
      </c>
      <c r="Q177" s="51" t="str">
        <f t="shared" si="48"/>
        <v>-21</v>
      </c>
      <c r="R177" s="51" t="str">
        <f t="shared" si="48"/>
        <v>-6</v>
      </c>
      <c r="S177" s="51" t="str">
        <f t="shared" si="48"/>
        <v>3</v>
      </c>
      <c r="T177" s="51" t="str">
        <f t="shared" si="48"/>
        <v>4</v>
      </c>
      <c r="U177" s="51" t="str">
        <f t="shared" si="48"/>
        <v>-3</v>
      </c>
      <c r="V177" s="51" t="str">
        <f t="shared" si="48"/>
        <v>-1</v>
      </c>
      <c r="W177" s="51" t="str">
        <f t="shared" si="48"/>
        <v>-13</v>
      </c>
      <c r="X177" s="51" t="str">
        <f t="shared" si="48"/>
        <v>-5</v>
      </c>
      <c r="Y177" s="51" t="str">
        <f t="shared" si="48"/>
        <v>-10</v>
      </c>
      <c r="Z177" s="51" t="str">
        <f t="shared" si="48"/>
        <v>-3</v>
      </c>
      <c r="AA177" s="51" t="str">
        <f t="shared" si="48"/>
        <v>6</v>
      </c>
      <c r="AB177" s="51" t="str">
        <f t="shared" si="48"/>
        <v>4</v>
      </c>
      <c r="AC177" s="51" t="str">
        <f t="shared" si="48"/>
        <v>10</v>
      </c>
      <c r="AD177" s="51" t="str">
        <f t="shared" si="48"/>
        <v>10</v>
      </c>
      <c r="AE177" s="51" t="str">
        <f t="shared" si="48"/>
        <v>-4</v>
      </c>
      <c r="AF177" s="51" t="str">
        <f t="shared" si="48"/>
        <v>-11</v>
      </c>
      <c r="AG177" s="51" t="str">
        <f t="shared" si="48"/>
        <v>-1</v>
      </c>
      <c r="AH177" s="51" t="str">
        <f t="shared" si="48"/>
        <v>-1</v>
      </c>
      <c r="AI177" s="51" t="str">
        <f t="shared" si="48"/>
        <v>-5</v>
      </c>
      <c r="AJ177" s="51" t="str">
        <f t="shared" si="48"/>
        <v>-7</v>
      </c>
      <c r="AK177" s="51" t="str">
        <f t="shared" si="48"/>
        <v>30</v>
      </c>
      <c r="AL177" s="51" t="str">
        <f t="shared" si="48"/>
        <v>32</v>
      </c>
      <c r="AM177" s="51" t="str">
        <f t="shared" si="48"/>
        <v>0</v>
      </c>
      <c r="AN177" s="51" t="str">
        <f t="shared" si="48"/>
        <v>-2</v>
      </c>
      <c r="AO177" s="51" t="str">
        <f t="shared" si="48"/>
        <v>30</v>
      </c>
      <c r="AP177" s="51" t="str">
        <f t="shared" si="48"/>
        <v>30</v>
      </c>
      <c r="AQ177" s="51" t="str">
        <f t="shared" si="48"/>
        <v>30</v>
      </c>
      <c r="AR177" s="51" t="str">
        <f t="shared" si="48"/>
        <v>30</v>
      </c>
      <c r="AS177" s="51" t="str">
        <f t="shared" si="48"/>
        <v>30</v>
      </c>
      <c r="AT177" s="51" t="str">
        <f t="shared" si="48"/>
        <v>30</v>
      </c>
      <c r="AU177" s="51" t="str">
        <f t="shared" si="48"/>
        <v>30</v>
      </c>
      <c r="AV177" s="51" t="str">
        <f t="shared" si="48"/>
        <v>30</v>
      </c>
      <c r="AW177" s="51" t="str">
        <f t="shared" si="48"/>
        <v>30</v>
      </c>
      <c r="AX177" s="51" t="str">
        <f t="shared" si="48"/>
        <v>30</v>
      </c>
      <c r="AY177" s="51" t="str">
        <f t="shared" si="48"/>
        <v>30</v>
      </c>
      <c r="AZ177" s="51" t="str">
        <f t="shared" si="48"/>
        <v>30</v>
      </c>
      <c r="BA177" s="51" t="str">
        <f t="shared" si="48"/>
        <v>32</v>
      </c>
    </row>
    <row r="178" spans="1:47" ht="14.25" customHeight="1">
      <c r="A178" s="61" t="s">
        <v>805</v>
      </c>
      <c r="B178" s="61" t="s">
        <v>594</v>
      </c>
      <c r="C178" s="91" t="str">
        <f t="shared" si="46"/>
        <v>baT</v>
      </c>
      <c r="D178" s="91" t="str">
        <f aca="true" t="shared" si="49" ref="D178:D185">"Contractor"&amp;UPPER(B178)</f>
        <v>ContractorBA</v>
      </c>
      <c r="E178" s="361" t="str">
        <f aca="true" t="shared" si="50" ref="E178:E185">"Total Avail: "&amp;D178</f>
        <v>Total Avail: ContractorBA</v>
      </c>
      <c r="F178" s="61" t="s">
        <v>856</v>
      </c>
      <c r="G178" s="39"/>
      <c r="H178" s="39"/>
      <c r="I178" s="39"/>
      <c r="J178" s="39"/>
      <c r="K178" s="39"/>
      <c r="L178" s="39"/>
      <c r="AE178" s="13">
        <v>2</v>
      </c>
      <c r="AF178" s="13">
        <v>8</v>
      </c>
      <c r="AI178" s="13">
        <v>10</v>
      </c>
      <c r="AL178" s="13">
        <v>2</v>
      </c>
      <c r="AN178" s="13">
        <v>16</v>
      </c>
      <c r="AO178" s="13">
        <v>15</v>
      </c>
      <c r="AP178" s="13">
        <v>13</v>
      </c>
      <c r="AQ178" s="13">
        <v>12</v>
      </c>
      <c r="AR178" s="13">
        <v>11</v>
      </c>
      <c r="AS178" s="13">
        <v>9</v>
      </c>
      <c r="AT178" s="13">
        <v>8</v>
      </c>
      <c r="AU178" s="13">
        <v>7</v>
      </c>
    </row>
    <row r="179" spans="1:50" ht="14.25" customHeight="1">
      <c r="A179" s="61" t="s">
        <v>805</v>
      </c>
      <c r="B179" s="61" t="s">
        <v>594</v>
      </c>
      <c r="C179" s="91" t="str">
        <f t="shared" si="46"/>
        <v>baT</v>
      </c>
      <c r="D179" s="91" t="str">
        <f t="shared" si="49"/>
        <v>ContractorBA</v>
      </c>
      <c r="E179" s="361" t="str">
        <f t="shared" si="50"/>
        <v>Total Avail: ContractorBA</v>
      </c>
      <c r="F179" s="61" t="s">
        <v>857</v>
      </c>
      <c r="G179" s="39"/>
      <c r="H179" s="39"/>
      <c r="I179" s="39"/>
      <c r="J179" s="39"/>
      <c r="K179" s="39"/>
      <c r="L179" s="39"/>
      <c r="AN179" s="13">
        <v>8</v>
      </c>
      <c r="AO179" s="13">
        <v>7</v>
      </c>
      <c r="AP179" s="13">
        <v>7</v>
      </c>
      <c r="AQ179" s="13">
        <v>6</v>
      </c>
      <c r="AR179" s="13">
        <v>5</v>
      </c>
      <c r="AS179" s="13">
        <v>5</v>
      </c>
      <c r="AT179" s="13">
        <v>4</v>
      </c>
      <c r="AU179" s="13">
        <v>3</v>
      </c>
      <c r="AV179" s="13">
        <v>3</v>
      </c>
      <c r="AW179" s="13">
        <v>2</v>
      </c>
      <c r="AX179" s="13">
        <v>1</v>
      </c>
    </row>
    <row r="180" spans="1:32" ht="14.25" customHeight="1">
      <c r="A180" s="61" t="s">
        <v>805</v>
      </c>
      <c r="B180" s="61" t="s">
        <v>582</v>
      </c>
      <c r="C180" s="91" t="str">
        <f t="shared" si="46"/>
        <v>dwT</v>
      </c>
      <c r="D180" s="91" t="str">
        <f t="shared" si="49"/>
        <v>ContractorDW</v>
      </c>
      <c r="E180" s="361" t="str">
        <f t="shared" si="50"/>
        <v>Total Avail: ContractorDW</v>
      </c>
      <c r="F180" s="105"/>
      <c r="G180" s="39"/>
      <c r="H180" s="39"/>
      <c r="I180" s="39"/>
      <c r="J180" s="39"/>
      <c r="K180" s="39"/>
      <c r="L180" s="39"/>
      <c r="W180" s="13">
        <v>4</v>
      </c>
      <c r="X180" s="13">
        <v>4</v>
      </c>
      <c r="Y180" s="13">
        <v>4</v>
      </c>
      <c r="Z180" s="13">
        <v>4</v>
      </c>
      <c r="AD180" s="13">
        <v>4</v>
      </c>
      <c r="AE180" s="13">
        <v>4</v>
      </c>
      <c r="AF180" s="13">
        <v>4</v>
      </c>
    </row>
    <row r="181" spans="1:32" ht="14.25" customHeight="1">
      <c r="A181" s="61" t="s">
        <v>805</v>
      </c>
      <c r="B181" s="61" t="s">
        <v>585</v>
      </c>
      <c r="C181" s="91" t="str">
        <f t="shared" si="46"/>
        <v>mwT</v>
      </c>
      <c r="D181" s="91" t="str">
        <f t="shared" si="49"/>
        <v>ContractorMW</v>
      </c>
      <c r="E181" s="361" t="str">
        <f t="shared" si="50"/>
        <v>Total Avail: ContractorMW</v>
      </c>
      <c r="F181" s="105"/>
      <c r="G181" s="39"/>
      <c r="H181" s="39"/>
      <c r="I181" s="39"/>
      <c r="J181" s="39"/>
      <c r="K181" s="39"/>
      <c r="L181" s="39"/>
      <c r="V181" s="13">
        <v>2</v>
      </c>
      <c r="W181" s="13">
        <v>2</v>
      </c>
      <c r="X181" s="13">
        <v>2</v>
      </c>
      <c r="Y181" s="13">
        <v>2</v>
      </c>
      <c r="Z181" s="13">
        <v>0</v>
      </c>
      <c r="AA181" s="13">
        <v>2</v>
      </c>
      <c r="AB181" s="13">
        <v>2</v>
      </c>
      <c r="AC181" s="13">
        <v>2</v>
      </c>
      <c r="AD181" s="13">
        <v>2</v>
      </c>
      <c r="AE181" s="13">
        <v>2</v>
      </c>
      <c r="AF181" s="13">
        <v>2</v>
      </c>
    </row>
    <row r="182" spans="1:26" ht="14.25" customHeight="1">
      <c r="A182" s="61" t="s">
        <v>805</v>
      </c>
      <c r="B182" s="61" t="s">
        <v>588</v>
      </c>
      <c r="C182" s="91" t="str">
        <f t="shared" si="46"/>
        <v>opsT</v>
      </c>
      <c r="D182" s="91" t="str">
        <f t="shared" si="49"/>
        <v>ContractorOPS</v>
      </c>
      <c r="E182" s="361" t="str">
        <f t="shared" si="50"/>
        <v>Total Avail: ContractorOPS</v>
      </c>
      <c r="F182" s="362"/>
      <c r="G182" s="50">
        <v>0</v>
      </c>
      <c r="H182" s="50">
        <v>7</v>
      </c>
      <c r="I182" s="50">
        <v>0</v>
      </c>
      <c r="J182" s="50">
        <v>0</v>
      </c>
      <c r="K182" s="50">
        <v>0</v>
      </c>
      <c r="L182" s="50">
        <v>0</v>
      </c>
      <c r="M182" s="13">
        <v>16</v>
      </c>
      <c r="N182" s="13">
        <v>32</v>
      </c>
      <c r="V182" s="13">
        <v>6</v>
      </c>
      <c r="Z182" s="13">
        <v>18</v>
      </c>
    </row>
    <row r="183" spans="1:32" ht="14.25" customHeight="1">
      <c r="A183" s="61" t="s">
        <v>805</v>
      </c>
      <c r="B183" s="61" t="s">
        <v>155</v>
      </c>
      <c r="C183" s="91" t="str">
        <f t="shared" si="46"/>
        <v>pmT</v>
      </c>
      <c r="D183" s="91" t="str">
        <f t="shared" si="49"/>
        <v>ContractorPM</v>
      </c>
      <c r="E183" s="361" t="str">
        <f t="shared" si="50"/>
        <v>Total Avail: ContractorPM</v>
      </c>
      <c r="F183" s="105"/>
      <c r="G183" s="15">
        <v>0</v>
      </c>
      <c r="H183" s="15">
        <v>0</v>
      </c>
      <c r="I183" s="15">
        <v>10</v>
      </c>
      <c r="J183" s="15">
        <v>10</v>
      </c>
      <c r="K183" s="15">
        <v>5</v>
      </c>
      <c r="L183" s="15">
        <v>5</v>
      </c>
      <c r="M183" s="15">
        <v>2</v>
      </c>
      <c r="N183" s="13">
        <v>2</v>
      </c>
      <c r="O183" s="13">
        <v>2</v>
      </c>
      <c r="P183" s="13">
        <v>5</v>
      </c>
      <c r="Q183" s="13">
        <v>10</v>
      </c>
      <c r="R183" s="13">
        <v>15</v>
      </c>
      <c r="S183" s="13">
        <v>10</v>
      </c>
      <c r="T183" s="13">
        <v>5</v>
      </c>
      <c r="U183" s="13">
        <v>2</v>
      </c>
      <c r="W183" s="13">
        <v>10</v>
      </c>
      <c r="X183" s="13">
        <v>4</v>
      </c>
      <c r="Y183" s="13">
        <v>10</v>
      </c>
      <c r="AA183" s="13">
        <v>8</v>
      </c>
      <c r="AB183" s="13">
        <v>8</v>
      </c>
      <c r="AE183" s="13">
        <v>8</v>
      </c>
      <c r="AF183" s="13">
        <v>8</v>
      </c>
    </row>
    <row r="184" spans="1:32" ht="14.25" customHeight="1">
      <c r="A184" s="61" t="s">
        <v>805</v>
      </c>
      <c r="B184" s="61" t="s">
        <v>527</v>
      </c>
      <c r="C184" s="91" t="str">
        <f t="shared" si="46"/>
        <v>qaT</v>
      </c>
      <c r="D184" s="91" t="str">
        <f t="shared" si="49"/>
        <v>ContractorQA</v>
      </c>
      <c r="E184" s="361" t="str">
        <f t="shared" si="50"/>
        <v>Total Avail: ContractorQA</v>
      </c>
      <c r="F184" s="105"/>
      <c r="G184" s="39"/>
      <c r="H184" s="39"/>
      <c r="I184" s="15">
        <v>2</v>
      </c>
      <c r="J184" s="15">
        <v>5</v>
      </c>
      <c r="K184" s="15">
        <v>5</v>
      </c>
      <c r="L184" s="15">
        <v>5</v>
      </c>
      <c r="M184" s="15">
        <v>5</v>
      </c>
      <c r="N184" s="13">
        <v>10</v>
      </c>
      <c r="O184" s="13">
        <v>2</v>
      </c>
      <c r="P184" s="13">
        <v>5</v>
      </c>
      <c r="Q184" s="13">
        <v>5</v>
      </c>
      <c r="R184" s="13">
        <v>5</v>
      </c>
      <c r="S184" s="13">
        <v>5</v>
      </c>
      <c r="T184" s="13">
        <v>5</v>
      </c>
      <c r="U184" s="13">
        <v>10</v>
      </c>
      <c r="V184" s="13">
        <v>10</v>
      </c>
      <c r="W184" s="13">
        <v>10</v>
      </c>
      <c r="X184" s="13">
        <v>7</v>
      </c>
      <c r="Y184" s="13">
        <v>7</v>
      </c>
      <c r="Z184" s="13">
        <v>5</v>
      </c>
      <c r="AA184" s="13">
        <v>7</v>
      </c>
      <c r="AB184" s="13">
        <v>7</v>
      </c>
      <c r="AC184" s="13">
        <v>7</v>
      </c>
      <c r="AD184" s="13">
        <v>7</v>
      </c>
      <c r="AE184" s="13">
        <v>7</v>
      </c>
      <c r="AF184" s="13">
        <v>7</v>
      </c>
    </row>
    <row r="185" spans="1:24" ht="14.25" customHeight="1">
      <c r="A185" s="61" t="s">
        <v>805</v>
      </c>
      <c r="B185" s="61" t="s">
        <v>256</v>
      </c>
      <c r="C185" s="91" t="str">
        <f t="shared" si="46"/>
        <v>uxT</v>
      </c>
      <c r="D185" s="91" t="str">
        <f t="shared" si="49"/>
        <v>ContractorUX</v>
      </c>
      <c r="E185" s="361" t="str">
        <f t="shared" si="50"/>
        <v>Total Avail: ContractorUX</v>
      </c>
      <c r="F185" s="362"/>
      <c r="G185" s="141"/>
      <c r="H185" s="141"/>
      <c r="I185" s="141"/>
      <c r="J185" s="141"/>
      <c r="K185" s="141"/>
      <c r="L185" s="141"/>
      <c r="M185" s="141"/>
      <c r="P185" s="13">
        <v>10</v>
      </c>
      <c r="Q185" s="13">
        <v>24</v>
      </c>
      <c r="R185" s="13">
        <v>2</v>
      </c>
      <c r="S185" s="13">
        <v>2</v>
      </c>
      <c r="T185" s="13">
        <v>2</v>
      </c>
      <c r="W185" s="13">
        <v>5</v>
      </c>
      <c r="X185" s="13">
        <v>3</v>
      </c>
    </row>
    <row r="186" spans="7:12" ht="12" customHeight="1">
      <c r="G186" s="39"/>
      <c r="H186" s="39"/>
      <c r="I186" s="39"/>
      <c r="J186" s="15">
        <v>5</v>
      </c>
      <c r="K186" s="13">
        <v>5</v>
      </c>
      <c r="L186" s="13">
        <v>5</v>
      </c>
    </row>
    <row r="187" spans="7:10" ht="12" customHeight="1">
      <c r="G187" s="39"/>
      <c r="H187" s="39"/>
      <c r="I187" s="39"/>
      <c r="J187" s="39"/>
    </row>
    <row r="188" spans="7:10" ht="12" customHeight="1">
      <c r="G188" s="39"/>
      <c r="H188" s="39"/>
      <c r="I188" s="39"/>
      <c r="J188" s="39"/>
    </row>
    <row r="189" spans="1:53" ht="12" customHeight="1">
      <c r="A189" s="10"/>
      <c r="B189" s="10"/>
      <c r="C189" s="10"/>
      <c r="D189" s="10"/>
      <c r="E189" s="3" t="s">
        <v>859</v>
      </c>
      <c r="F189" s="10"/>
      <c r="G189" s="202"/>
      <c r="H189" s="202"/>
      <c r="I189" s="202"/>
      <c r="J189" s="191" t="str">
        <f aca="true" t="shared" si="51" ref="J189:BA189">SUM(J2+J9+J15+J22+J31+J42)</f>
        <v>220</v>
      </c>
      <c r="K189" s="190" t="str">
        <f t="shared" si="51"/>
        <v>208</v>
      </c>
      <c r="L189" s="190" t="str">
        <f t="shared" si="51"/>
        <v>46</v>
      </c>
      <c r="M189" s="190" t="str">
        <f t="shared" si="51"/>
        <v>143</v>
      </c>
      <c r="N189" s="190" t="str">
        <f t="shared" si="51"/>
        <v>153</v>
      </c>
      <c r="O189" s="190" t="str">
        <f t="shared" si="51"/>
        <v>153</v>
      </c>
      <c r="P189" s="190" t="str">
        <f t="shared" si="51"/>
        <v>153</v>
      </c>
      <c r="Q189" s="190" t="str">
        <f t="shared" si="51"/>
        <v>144</v>
      </c>
      <c r="R189" s="190" t="str">
        <f t="shared" si="51"/>
        <v>93</v>
      </c>
      <c r="S189" s="190" t="str">
        <f t="shared" si="51"/>
        <v>92</v>
      </c>
      <c r="T189" s="190" t="str">
        <f t="shared" si="51"/>
        <v>66</v>
      </c>
      <c r="U189" s="190" t="str">
        <f t="shared" si="51"/>
        <v>66</v>
      </c>
      <c r="V189" s="190" t="str">
        <f t="shared" si="51"/>
        <v>94</v>
      </c>
      <c r="W189" s="190" t="str">
        <f t="shared" si="51"/>
        <v>140</v>
      </c>
      <c r="X189" s="190" t="str">
        <f t="shared" si="51"/>
        <v>91</v>
      </c>
      <c r="Y189" s="190" t="str">
        <f t="shared" si="51"/>
        <v>88</v>
      </c>
      <c r="Z189" s="190" t="str">
        <f t="shared" si="51"/>
        <v>64</v>
      </c>
      <c r="AA189" s="190" t="str">
        <f t="shared" si="51"/>
        <v>82</v>
      </c>
      <c r="AB189" s="190" t="str">
        <f t="shared" si="51"/>
        <v>130</v>
      </c>
      <c r="AC189" s="190" t="str">
        <f t="shared" si="51"/>
        <v>124</v>
      </c>
      <c r="AD189" s="190" t="str">
        <f t="shared" si="51"/>
        <v>182</v>
      </c>
      <c r="AE189" s="190" t="str">
        <f t="shared" si="51"/>
        <v>118</v>
      </c>
      <c r="AF189" s="190" t="str">
        <f t="shared" si="51"/>
        <v>128</v>
      </c>
      <c r="AG189" s="190" t="str">
        <f t="shared" si="51"/>
        <v>58</v>
      </c>
      <c r="AH189" s="190" t="str">
        <f t="shared" si="51"/>
        <v>94</v>
      </c>
      <c r="AI189" s="190" t="str">
        <f t="shared" si="51"/>
        <v>118</v>
      </c>
      <c r="AJ189" s="190" t="str">
        <f t="shared" si="51"/>
        <v>118</v>
      </c>
      <c r="AK189" s="190" t="str">
        <f t="shared" si="51"/>
        <v>73</v>
      </c>
      <c r="AL189" s="190" t="str">
        <f t="shared" si="51"/>
        <v>70</v>
      </c>
      <c r="AM189" s="190" t="str">
        <f t="shared" si="51"/>
        <v>30</v>
      </c>
      <c r="AN189" s="190" t="str">
        <f t="shared" si="51"/>
        <v>54</v>
      </c>
      <c r="AO189" s="190" t="str">
        <f t="shared" si="51"/>
        <v>54</v>
      </c>
      <c r="AP189" s="190" t="str">
        <f t="shared" si="51"/>
        <v>64</v>
      </c>
      <c r="AQ189" s="190" t="str">
        <f t="shared" si="51"/>
        <v>64</v>
      </c>
      <c r="AR189" s="190" t="str">
        <f t="shared" si="51"/>
        <v>60</v>
      </c>
      <c r="AS189" s="190" t="str">
        <f t="shared" si="51"/>
        <v>80</v>
      </c>
      <c r="AT189" s="190" t="str">
        <f t="shared" si="51"/>
        <v>80</v>
      </c>
      <c r="AU189" s="190" t="str">
        <f t="shared" si="51"/>
        <v>80</v>
      </c>
      <c r="AV189" s="190" t="str">
        <f t="shared" si="51"/>
        <v>80</v>
      </c>
      <c r="AW189" s="190" t="str">
        <f t="shared" si="51"/>
        <v>80</v>
      </c>
      <c r="AX189" s="190" t="str">
        <f t="shared" si="51"/>
        <v>80</v>
      </c>
      <c r="AY189" s="190" t="str">
        <f t="shared" si="51"/>
        <v>80</v>
      </c>
      <c r="AZ189" s="190" t="str">
        <f t="shared" si="51"/>
        <v>80</v>
      </c>
      <c r="BA189" s="190" t="str">
        <f t="shared" si="51"/>
        <v>80</v>
      </c>
    </row>
    <row r="190" spans="1:53" ht="12" customHeight="1">
      <c r="A190" s="10"/>
      <c r="B190" s="10"/>
      <c r="C190" s="10"/>
      <c r="D190" s="10"/>
      <c r="E190" s="3" t="s">
        <v>860</v>
      </c>
      <c r="F190" s="10"/>
      <c r="G190" s="202"/>
      <c r="H190" s="202"/>
      <c r="I190" s="202"/>
      <c r="J190" s="191" t="str">
        <f aca="true" t="shared" si="52" ref="J190:R190">SUM(""+J11+""+""+""+""+""+J25+J34+J37+""+""+J47)</f>
        <v>22</v>
      </c>
      <c r="K190" s="190" t="str">
        <f t="shared" si="52"/>
        <v>40</v>
      </c>
      <c r="L190" s="190" t="str">
        <f t="shared" si="52"/>
        <v>36</v>
      </c>
      <c r="M190" s="190" t="str">
        <f t="shared" si="52"/>
        <v>14</v>
      </c>
      <c r="N190" s="190" t="str">
        <f t="shared" si="52"/>
        <v>28</v>
      </c>
      <c r="O190" s="190" t="str">
        <f t="shared" si="52"/>
        <v>32</v>
      </c>
      <c r="P190" s="190" t="str">
        <f t="shared" si="52"/>
        <v>30</v>
      </c>
      <c r="Q190" s="190" t="str">
        <f t="shared" si="52"/>
        <v>54</v>
      </c>
      <c r="R190" s="190" t="str">
        <f t="shared" si="52"/>
        <v>76</v>
      </c>
      <c r="S190" s="190" t="str">
        <f aca="true" t="shared" si="53" ref="S190:AG190">SUM(S5+S10+S14+""+S32+S34+S35+S43+S45+S46+S47)</f>
        <v>242</v>
      </c>
      <c r="T190" s="190" t="str">
        <f t="shared" si="53"/>
        <v>230</v>
      </c>
      <c r="U190" s="190" t="str">
        <f t="shared" si="53"/>
        <v>196</v>
      </c>
      <c r="V190" s="190" t="str">
        <f t="shared" si="53"/>
        <v>154</v>
      </c>
      <c r="W190" s="190" t="str">
        <f t="shared" si="53"/>
        <v>140</v>
      </c>
      <c r="X190" s="190" t="str">
        <f t="shared" si="53"/>
        <v>192</v>
      </c>
      <c r="Y190" s="190" t="str">
        <f t="shared" si="53"/>
        <v>188</v>
      </c>
      <c r="Z190" s="190" t="str">
        <f t="shared" si="53"/>
        <v>178</v>
      </c>
      <c r="AA190" s="190" t="str">
        <f t="shared" si="53"/>
        <v>112</v>
      </c>
      <c r="AB190" s="190" t="str">
        <f t="shared" si="53"/>
        <v>130</v>
      </c>
      <c r="AC190" s="190" t="str">
        <f t="shared" si="53"/>
        <v>124</v>
      </c>
      <c r="AD190" s="190" t="str">
        <f t="shared" si="53"/>
        <v>76</v>
      </c>
      <c r="AE190" s="190" t="str">
        <f t="shared" si="53"/>
        <v>140</v>
      </c>
      <c r="AF190" s="190" t="str">
        <f t="shared" si="53"/>
        <v>120</v>
      </c>
      <c r="AG190" s="190" t="str">
        <f t="shared" si="53"/>
        <v>132</v>
      </c>
      <c r="AH190" s="190" t="str">
        <f aca="true" t="array" ref="AH190">SUM(AH5+AH10+AH14+""+AH32+AI34+AH35+AH43+AH45+AH46+AH47)</f>
        <v>102</v>
      </c>
      <c r="AI190" s="190" t="str">
        <f aca="true" t="shared" si="54" ref="AI190:BA190">SUM(AI5+AI10+AI14+""+AI32+AI34+AI35+AI43+AI45+AI46+AI47)</f>
        <v>132</v>
      </c>
      <c r="AJ190" s="190" t="str">
        <f t="shared" si="54"/>
        <v>116</v>
      </c>
      <c r="AK190" s="190" t="str">
        <f t="shared" si="54"/>
        <v>108</v>
      </c>
      <c r="AL190" s="190" t="str">
        <f t="shared" si="54"/>
        <v>80</v>
      </c>
      <c r="AM190" s="190" t="str">
        <f t="shared" si="54"/>
        <v>80</v>
      </c>
      <c r="AN190" s="190" t="str">
        <f t="shared" si="54"/>
        <v>120</v>
      </c>
      <c r="AO190" s="190" t="str">
        <f t="shared" si="54"/>
        <v>96</v>
      </c>
      <c r="AP190" s="190" t="str">
        <f t="shared" si="54"/>
        <v>16</v>
      </c>
      <c r="AQ190" s="190" t="str">
        <f t="shared" si="54"/>
        <v>12</v>
      </c>
      <c r="AR190" s="190" t="str">
        <f t="shared" si="54"/>
        <v>12</v>
      </c>
      <c r="AS190" s="190" t="str">
        <f t="shared" si="54"/>
        <v>12</v>
      </c>
      <c r="AT190" s="190" t="str">
        <f t="shared" si="54"/>
        <v>12</v>
      </c>
      <c r="AU190" s="190" t="str">
        <f t="shared" si="54"/>
        <v>16</v>
      </c>
      <c r="AV190" s="190" t="str">
        <f t="shared" si="54"/>
        <v>16</v>
      </c>
      <c r="AW190" s="190" t="str">
        <f t="shared" si="54"/>
        <v>16</v>
      </c>
      <c r="AX190" s="190" t="str">
        <f t="shared" si="54"/>
        <v>16</v>
      </c>
      <c r="AY190" s="190" t="str">
        <f t="shared" si="54"/>
        <v>16</v>
      </c>
      <c r="AZ190" s="190" t="str">
        <f t="shared" si="54"/>
        <v>16</v>
      </c>
      <c r="BA190" s="190" t="str">
        <f t="shared" si="54"/>
        <v>0</v>
      </c>
    </row>
    <row r="191" spans="7:10" ht="12" customHeight="1">
      <c r="G191" s="39"/>
      <c r="H191" s="39"/>
      <c r="I191" s="39"/>
      <c r="J191" s="39"/>
    </row>
    <row r="192" spans="1:53" ht="12" customHeight="1">
      <c r="A192" s="363" t="s">
        <v>861</v>
      </c>
      <c r="F192" s="364"/>
      <c r="G192" s="364"/>
      <c r="H192" s="364"/>
      <c r="I192" s="364"/>
      <c r="J192" s="364"/>
      <c r="K192" s="364"/>
      <c r="L192" s="364"/>
      <c r="M192" s="364"/>
      <c r="N192" s="364"/>
      <c r="O192" s="364"/>
      <c r="P192" s="364"/>
      <c r="Q192" s="364"/>
      <c r="R192" s="364"/>
      <c r="S192" s="364"/>
      <c r="T192" s="364"/>
      <c r="U192" s="364"/>
      <c r="V192" s="364"/>
      <c r="W192" s="364"/>
      <c r="X192" s="364"/>
      <c r="Y192" s="364"/>
      <c r="Z192" s="364"/>
      <c r="AA192" s="364"/>
      <c r="AB192" s="364"/>
      <c r="AC192" s="364"/>
      <c r="AD192" s="364"/>
      <c r="AE192" s="364"/>
      <c r="AF192" s="364"/>
      <c r="AG192" s="364"/>
      <c r="AH192" s="364"/>
      <c r="AI192" s="364"/>
      <c r="AJ192" s="364"/>
      <c r="AK192" s="364"/>
      <c r="AL192" s="364"/>
      <c r="AM192" s="364"/>
      <c r="AN192" s="364"/>
      <c r="AO192" s="364"/>
      <c r="AP192" s="364"/>
      <c r="AQ192" s="364"/>
      <c r="AR192" s="364"/>
      <c r="AS192" s="364"/>
      <c r="AT192" s="364"/>
      <c r="AU192" s="364"/>
      <c r="AV192" s="364"/>
      <c r="AW192" s="364"/>
      <c r="AX192" s="364"/>
      <c r="AY192" s="364"/>
      <c r="AZ192" s="364"/>
      <c r="BA192" s="364"/>
    </row>
    <row r="193" spans="7:10" ht="12" customHeight="1">
      <c r="G193" s="39"/>
      <c r="H193" s="39"/>
      <c r="I193" s="39"/>
      <c r="J193" s="39"/>
    </row>
    <row r="194" spans="7:10" ht="12" customHeight="1">
      <c r="G194" s="39"/>
      <c r="H194" s="39"/>
      <c r="I194" s="39"/>
      <c r="J194" s="39"/>
    </row>
    <row r="195" spans="7:10" ht="12" customHeight="1">
      <c r="G195" s="39"/>
      <c r="H195" s="39"/>
      <c r="I195" s="39"/>
      <c r="J195" s="39"/>
    </row>
    <row r="196" spans="7:10" ht="12" customHeight="1">
      <c r="G196" s="39"/>
      <c r="H196" s="39"/>
      <c r="I196" s="39"/>
      <c r="J196" s="39"/>
    </row>
    <row r="197" spans="7:10" ht="12" customHeight="1">
      <c r="G197" s="39"/>
      <c r="H197" s="39"/>
      <c r="I197" s="39"/>
      <c r="J197" s="39"/>
    </row>
    <row r="198" spans="7:10" ht="12" customHeight="1">
      <c r="G198" s="39"/>
      <c r="H198" s="39"/>
      <c r="I198" s="39"/>
      <c r="J198" s="39"/>
    </row>
    <row r="199" spans="7:10" ht="12" customHeight="1">
      <c r="G199" s="39"/>
      <c r="H199" s="39"/>
      <c r="I199" s="39"/>
      <c r="J199" s="39"/>
    </row>
    <row r="200" spans="7:10" ht="12" customHeight="1">
      <c r="G200" s="39"/>
      <c r="H200" s="39"/>
      <c r="I200" s="39"/>
      <c r="J200" s="39"/>
    </row>
    <row r="201" spans="7:10" ht="12" customHeight="1">
      <c r="G201" s="39"/>
      <c r="H201" s="39"/>
      <c r="I201" s="39"/>
      <c r="J201" s="39"/>
    </row>
    <row r="202" spans="7:10" ht="12" customHeight="1">
      <c r="G202" s="39"/>
      <c r="H202" s="39"/>
      <c r="I202" s="39"/>
      <c r="J202" s="39"/>
    </row>
    <row r="203" spans="7:10" ht="12" customHeight="1">
      <c r="G203" s="39"/>
      <c r="H203" s="39"/>
      <c r="I203" s="39"/>
      <c r="J203" s="39"/>
    </row>
    <row r="204" spans="7:10" ht="12" customHeight="1">
      <c r="G204" s="39"/>
      <c r="H204" s="39"/>
      <c r="I204" s="39"/>
      <c r="J204" s="39"/>
    </row>
    <row r="205" spans="7:10" ht="12" customHeight="1">
      <c r="G205" s="39"/>
      <c r="H205" s="39"/>
      <c r="I205" s="39"/>
      <c r="J205" s="39"/>
    </row>
    <row r="206" spans="7:10" ht="12" customHeight="1">
      <c r="G206" s="39"/>
      <c r="H206" s="39"/>
      <c r="I206" s="39"/>
      <c r="J206" s="39"/>
    </row>
    <row r="207" spans="7:10" ht="12" customHeight="1">
      <c r="G207" s="39"/>
      <c r="H207" s="39"/>
      <c r="I207" s="39"/>
      <c r="J207" s="39"/>
    </row>
    <row r="208" spans="7:10" ht="12" customHeight="1">
      <c r="G208" s="39"/>
      <c r="H208" s="39"/>
      <c r="I208" s="39"/>
      <c r="J208" s="39"/>
    </row>
    <row r="209" spans="7:10" ht="12" customHeight="1">
      <c r="G209" s="39"/>
      <c r="H209" s="39"/>
      <c r="I209" s="39"/>
      <c r="J209" s="39"/>
    </row>
    <row r="210" spans="7:10" ht="12" customHeight="1">
      <c r="G210" s="39"/>
      <c r="H210" s="39"/>
      <c r="I210" s="39"/>
      <c r="J210" s="39"/>
    </row>
    <row r="211" spans="7:10" ht="12" customHeight="1">
      <c r="G211" s="39"/>
      <c r="H211" s="39"/>
      <c r="I211" s="39"/>
      <c r="J211" s="39"/>
    </row>
    <row r="212" spans="7:10" ht="12" customHeight="1">
      <c r="G212" s="39"/>
      <c r="H212" s="39"/>
      <c r="I212" s="39"/>
      <c r="J212" s="39"/>
    </row>
    <row r="213" spans="7:10" ht="12" customHeight="1">
      <c r="G213" s="39"/>
      <c r="H213" s="39"/>
      <c r="I213" s="39"/>
      <c r="J213" s="39"/>
    </row>
    <row r="214" spans="7:10" ht="12" customHeight="1">
      <c r="G214" s="39"/>
      <c r="H214" s="39"/>
      <c r="I214" s="39"/>
      <c r="J214" s="39"/>
    </row>
    <row r="215" spans="7:10" ht="12" customHeight="1">
      <c r="G215" s="39"/>
      <c r="H215" s="39"/>
      <c r="I215" s="39"/>
      <c r="J215" s="39"/>
    </row>
    <row r="216" spans="7:10" ht="12" customHeight="1">
      <c r="G216" s="39"/>
      <c r="H216" s="39"/>
      <c r="I216" s="39"/>
      <c r="J216" s="39"/>
    </row>
    <row r="217" spans="7:10" ht="12" customHeight="1">
      <c r="G217" s="39"/>
      <c r="H217" s="39"/>
      <c r="I217" s="39"/>
      <c r="J217" s="39"/>
    </row>
    <row r="218" spans="7:10" ht="12" customHeight="1">
      <c r="G218" s="39"/>
      <c r="H218" s="39"/>
      <c r="I218" s="39"/>
      <c r="J218" s="39"/>
    </row>
    <row r="219" spans="7:10" ht="12" customHeight="1">
      <c r="G219" s="39"/>
      <c r="H219" s="39"/>
      <c r="I219" s="39"/>
      <c r="J219" s="39"/>
    </row>
  </sheetData>
  <autoFilter ref="$A$1:$F$185"/>
  <mergeCells count="1">
    <mergeCell ref="A192:E192"/>
  </mergeCells>
  <conditionalFormatting sqref="E8:F8">
    <cfRule type="cellIs" priority="1" dxfId="0" operator="greaterThan">
      <formula>32</formula>
    </cfRule>
  </conditionalFormatting>
  <conditionalFormatting sqref="E13:F13">
    <cfRule type="cellIs" priority="2" dxfId="0" operator="greaterThan">
      <formula>32</formula>
    </cfRule>
  </conditionalFormatting>
  <conditionalFormatting sqref="E21:F21">
    <cfRule type="cellIs" priority="3" dxfId="0" operator="greaterThan">
      <formula>32</formula>
    </cfRule>
  </conditionalFormatting>
  <conditionalFormatting sqref="E30:F30">
    <cfRule type="cellIs" priority="4" dxfId="0" operator="greaterThan">
      <formula>32</formula>
    </cfRule>
  </conditionalFormatting>
  <conditionalFormatting sqref="E41:F41">
    <cfRule type="cellIs" priority="5" dxfId="0" operator="greaterThan">
      <formula>32</formula>
    </cfRule>
  </conditionalFormatting>
  <conditionalFormatting sqref="E53:F53">
    <cfRule type="cellIs" priority="6" dxfId="0" operator="greaterThan">
      <formula>32</formula>
    </cfRule>
  </conditionalFormatting>
  <conditionalFormatting sqref="E61:F61">
    <cfRule type="cellIs" priority="7" dxfId="0" operator="greaterThan">
      <formula>32</formula>
    </cfRule>
  </conditionalFormatting>
  <conditionalFormatting sqref="E67:F67">
    <cfRule type="cellIs" priority="8" dxfId="0" operator="greaterThan">
      <formula>32</formula>
    </cfRule>
  </conditionalFormatting>
  <conditionalFormatting sqref="E71:F71">
    <cfRule type="cellIs" priority="9" dxfId="0" operator="greaterThan">
      <formula>32</formula>
    </cfRule>
  </conditionalFormatting>
  <conditionalFormatting sqref="E83:F83">
    <cfRule type="cellIs" priority="10" dxfId="0" operator="greaterThan">
      <formula>32</formula>
    </cfRule>
  </conditionalFormatting>
  <conditionalFormatting sqref="E89:F89">
    <cfRule type="cellIs" priority="11" dxfId="0" operator="greaterThan">
      <formula>32</formula>
    </cfRule>
  </conditionalFormatting>
  <conditionalFormatting sqref="E92:F92">
    <cfRule type="cellIs" priority="12" dxfId="0" operator="greaterThan">
      <formula>32</formula>
    </cfRule>
  </conditionalFormatting>
  <conditionalFormatting sqref="E97:F97">
    <cfRule type="cellIs" priority="13" dxfId="0" operator="greaterThan">
      <formula>32</formula>
    </cfRule>
  </conditionalFormatting>
  <conditionalFormatting sqref="E106:F106">
    <cfRule type="cellIs" priority="14" dxfId="0" operator="greaterThan">
      <formula>32</formula>
    </cfRule>
  </conditionalFormatting>
  <conditionalFormatting sqref="E119:F119">
    <cfRule type="cellIs" priority="15" dxfId="0" operator="greaterThan">
      <formula>32</formula>
    </cfRule>
  </conditionalFormatting>
  <conditionalFormatting sqref="E130:F130">
    <cfRule type="cellIs" priority="16" dxfId="0" operator="greaterThan">
      <formula>32</formula>
    </cfRule>
  </conditionalFormatting>
  <conditionalFormatting sqref="E138:F138">
    <cfRule type="cellIs" priority="17" dxfId="0" operator="greaterThan">
      <formula>32</formula>
    </cfRule>
  </conditionalFormatting>
  <conditionalFormatting sqref="E150:F150">
    <cfRule type="cellIs" priority="18" dxfId="0" operator="greaterThan">
      <formula>32</formula>
    </cfRule>
  </conditionalFormatting>
  <conditionalFormatting sqref="E159:F159">
    <cfRule type="cellIs" priority="19" dxfId="0" operator="greaterThan">
      <formula>32</formula>
    </cfRule>
  </conditionalFormatting>
  <conditionalFormatting sqref="E162:F162">
    <cfRule type="cellIs" priority="20" dxfId="0" operator="greaterThan">
      <formula>32</formula>
    </cfRule>
  </conditionalFormatting>
  <conditionalFormatting sqref="E177:F177">
    <cfRule type="cellIs" priority="21" dxfId="0" operator="greaterThan">
      <formula>32</formula>
    </cfRule>
  </conditionalFormatting>
  <conditionalFormatting sqref="G8:BA8">
    <cfRule type="cellIs" priority="22" dxfId="0" operator="lessThan">
      <formula>0</formula>
    </cfRule>
  </conditionalFormatting>
  <conditionalFormatting sqref="G13:BA13">
    <cfRule type="cellIs" priority="23" dxfId="0" operator="lessThan">
      <formula>0</formula>
    </cfRule>
  </conditionalFormatting>
  <conditionalFormatting sqref="G21:BA21">
    <cfRule type="cellIs" priority="24" dxfId="0" operator="lessThan">
      <formula>0</formula>
    </cfRule>
  </conditionalFormatting>
  <conditionalFormatting sqref="G30:BA30">
    <cfRule type="cellIs" priority="25" dxfId="0" operator="lessThan">
      <formula>0</formula>
    </cfRule>
  </conditionalFormatting>
  <conditionalFormatting sqref="G41:BA41">
    <cfRule type="cellIs" priority="26" dxfId="0" operator="lessThan">
      <formula>0</formula>
    </cfRule>
  </conditionalFormatting>
  <conditionalFormatting sqref="G53:BA53">
    <cfRule type="cellIs" priority="27" dxfId="0" operator="lessThan">
      <formula>0</formula>
    </cfRule>
  </conditionalFormatting>
  <conditionalFormatting sqref="G61:BA61">
    <cfRule type="cellIs" priority="28" dxfId="0" operator="lessThan">
      <formula>0</formula>
    </cfRule>
  </conditionalFormatting>
  <conditionalFormatting sqref="G67:BA67">
    <cfRule type="cellIs" priority="29" dxfId="0" operator="lessThan">
      <formula>0</formula>
    </cfRule>
  </conditionalFormatting>
  <conditionalFormatting sqref="G71:BA71">
    <cfRule type="cellIs" priority="30" dxfId="0" operator="lessThan">
      <formula>0</formula>
    </cfRule>
  </conditionalFormatting>
  <conditionalFormatting sqref="G83:BA83">
    <cfRule type="cellIs" priority="31" dxfId="0" operator="lessThan">
      <formula>0</formula>
    </cfRule>
  </conditionalFormatting>
  <conditionalFormatting sqref="G89:BA89">
    <cfRule type="cellIs" priority="32" dxfId="0" operator="lessThan">
      <formula>0</formula>
    </cfRule>
  </conditionalFormatting>
  <conditionalFormatting sqref="G92:BA92">
    <cfRule type="cellIs" priority="33" dxfId="0" operator="lessThan">
      <formula>0</formula>
    </cfRule>
  </conditionalFormatting>
  <conditionalFormatting sqref="G97:BA97">
    <cfRule type="cellIs" priority="34" dxfId="0" operator="lessThan">
      <formula>0</formula>
    </cfRule>
  </conditionalFormatting>
  <conditionalFormatting sqref="G106:BA106">
    <cfRule type="cellIs" priority="35" dxfId="0" operator="lessThan">
      <formula>0</formula>
    </cfRule>
  </conditionalFormatting>
  <conditionalFormatting sqref="G119:BA119">
    <cfRule type="cellIs" priority="36" dxfId="0" operator="lessThan">
      <formula>0</formula>
    </cfRule>
  </conditionalFormatting>
  <conditionalFormatting sqref="AB124:BA124">
    <cfRule type="cellIs" priority="37" dxfId="0" operator="lessThan">
      <formula>0</formula>
    </cfRule>
  </conditionalFormatting>
  <conditionalFormatting sqref="G130:BA130">
    <cfRule type="cellIs" priority="38" dxfId="0" operator="lessThan">
      <formula>0</formula>
    </cfRule>
  </conditionalFormatting>
  <conditionalFormatting sqref="G138:BA138">
    <cfRule type="cellIs" priority="39" dxfId="0" operator="lessThan">
      <formula>0</formula>
    </cfRule>
  </conditionalFormatting>
  <conditionalFormatting sqref="G150:BA150">
    <cfRule type="cellIs" priority="40" dxfId="0" operator="lessThan">
      <formula>0</formula>
    </cfRule>
  </conditionalFormatting>
  <conditionalFormatting sqref="G159:BA159">
    <cfRule type="cellIs" priority="41" dxfId="0" operator="lessThan">
      <formula>0</formula>
    </cfRule>
  </conditionalFormatting>
  <conditionalFormatting sqref="G162:BA162">
    <cfRule type="cellIs" priority="42" dxfId="0" operator="lessThan">
      <formula>0</formula>
    </cfRule>
  </conditionalFormatting>
  <conditionalFormatting sqref="G177:BA177">
    <cfRule type="cellIs" priority="43" dxfId="0" operator="lessThan">
      <formula>0</formula>
    </cfRule>
  </conditionalFormatting>
  <conditionalFormatting sqref="G8:BA8">
    <cfRule type="cellIs" priority="44" dxfId="1" operator="greaterThan">
      <formula>0</formula>
    </cfRule>
  </conditionalFormatting>
  <conditionalFormatting sqref="G13:BA13">
    <cfRule type="cellIs" priority="45" dxfId="1" operator="greaterThan">
      <formula>0</formula>
    </cfRule>
  </conditionalFormatting>
  <conditionalFormatting sqref="G21:BA21">
    <cfRule type="cellIs" priority="46" dxfId="1" operator="greaterThan">
      <formula>0</formula>
    </cfRule>
  </conditionalFormatting>
  <conditionalFormatting sqref="G30:BA30">
    <cfRule type="cellIs" priority="47" dxfId="1" operator="greaterThan">
      <formula>0</formula>
    </cfRule>
  </conditionalFormatting>
  <conditionalFormatting sqref="G41:BA41">
    <cfRule type="cellIs" priority="48" dxfId="1" operator="greaterThan">
      <formula>0</formula>
    </cfRule>
  </conditionalFormatting>
  <conditionalFormatting sqref="G53:BA53">
    <cfRule type="cellIs" priority="49" dxfId="1" operator="greaterThan">
      <formula>0</formula>
    </cfRule>
  </conditionalFormatting>
  <conditionalFormatting sqref="G61:BA61">
    <cfRule type="cellIs" priority="50" dxfId="1" operator="greaterThan">
      <formula>0</formula>
    </cfRule>
  </conditionalFormatting>
  <conditionalFormatting sqref="G67:BA67">
    <cfRule type="cellIs" priority="51" dxfId="1" operator="greaterThan">
      <formula>0</formula>
    </cfRule>
  </conditionalFormatting>
  <conditionalFormatting sqref="G71:BA71">
    <cfRule type="cellIs" priority="52" dxfId="1" operator="greaterThan">
      <formula>0</formula>
    </cfRule>
  </conditionalFormatting>
  <conditionalFormatting sqref="G83:BA83">
    <cfRule type="cellIs" priority="53" dxfId="1" operator="greaterThan">
      <formula>0</formula>
    </cfRule>
  </conditionalFormatting>
  <conditionalFormatting sqref="G89:BA89">
    <cfRule type="cellIs" priority="54" dxfId="1" operator="greaterThan">
      <formula>0</formula>
    </cfRule>
  </conditionalFormatting>
  <conditionalFormatting sqref="G92:BA92">
    <cfRule type="cellIs" priority="55" dxfId="1" operator="greaterThan">
      <formula>0</formula>
    </cfRule>
  </conditionalFormatting>
  <conditionalFormatting sqref="G97:BA97">
    <cfRule type="cellIs" priority="56" dxfId="1" operator="greaterThan">
      <formula>0</formula>
    </cfRule>
  </conditionalFormatting>
  <conditionalFormatting sqref="G106:BA106">
    <cfRule type="cellIs" priority="57" dxfId="1" operator="greaterThan">
      <formula>0</formula>
    </cfRule>
  </conditionalFormatting>
  <conditionalFormatting sqref="G119:BA119">
    <cfRule type="cellIs" priority="58" dxfId="1" operator="greaterThan">
      <formula>0</formula>
    </cfRule>
  </conditionalFormatting>
  <conditionalFormatting sqref="AB124:BA124">
    <cfRule type="cellIs" priority="59" dxfId="1" operator="greaterThan">
      <formula>0</formula>
    </cfRule>
  </conditionalFormatting>
  <conditionalFormatting sqref="G130:BA130">
    <cfRule type="cellIs" priority="60" dxfId="1" operator="greaterThan">
      <formula>0</formula>
    </cfRule>
  </conditionalFormatting>
  <conditionalFormatting sqref="G138:BA138">
    <cfRule type="cellIs" priority="61" dxfId="1" operator="greaterThan">
      <formula>0</formula>
    </cfRule>
  </conditionalFormatting>
  <conditionalFormatting sqref="G150:BA150">
    <cfRule type="cellIs" priority="62" dxfId="1" operator="greaterThan">
      <formula>0</formula>
    </cfRule>
  </conditionalFormatting>
  <conditionalFormatting sqref="G159:BA159">
    <cfRule type="cellIs" priority="63" dxfId="1" operator="greaterThan">
      <formula>0</formula>
    </cfRule>
  </conditionalFormatting>
  <conditionalFormatting sqref="G162:BA162">
    <cfRule type="cellIs" priority="64" dxfId="1" operator="greaterThan">
      <formula>0</formula>
    </cfRule>
  </conditionalFormatting>
  <conditionalFormatting sqref="G177:BA177">
    <cfRule type="cellIs" priority="65" dxfId="1" operator="greaterThan">
      <formula>0</formula>
    </cfRule>
  </conditionalFormatting>
  <dataValidations count="5">
    <dataValidation type="list" allowBlank="1" showInputMessage="1" prompt="Select Project or Task" sqref="E177">
      <formula1>apm!$M$13:$M$71</formula1>
    </dataValidation>
    <dataValidation type="list" allowBlank="1" sqref="B2:B185">
      <formula1>"an,ba,dw,mw,ops,pm,qa,ux,oth"</formula1>
    </dataValidation>
    <dataValidation type="list" allowBlank="1" showInputMessage="1" prompt="Select Project or Task" sqref="E2:E176">
      <formula1>apm!$N$13:$N$71</formula1>
    </dataValidation>
    <dataValidation type="list" allowBlank="1" showInputMessage="1" prompt="Select Project or Task" sqref="E1 F107:F108">
      <formula1>apm!$J$1:$J$106</formula1>
    </dataValidation>
    <dataValidation type="list" allowBlank="1" showInputMessage="1" prompt="Select Project or Task" sqref="E178:E185">
      <formula1>apm!$K$13:$K$71</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T8"/>
  <sheetViews>
    <sheetView workbookViewId="0" topLeftCell="A1">
      <pane ySplit="1" topLeftCell="A2" activePane="bottomLeft" state="frozen"/>
      <selection pane="bottomLeft" activeCell="B3" sqref="B3"/>
    </sheetView>
  </sheetViews>
  <sheetFormatPr defaultColWidth="14.421875" defaultRowHeight="12.75" customHeight="1"/>
  <cols>
    <col min="1" max="1" width="6.8515625" style="0" customWidth="1"/>
    <col min="2" max="2" width="17.28125" style="0" customWidth="1"/>
    <col min="3" max="3" width="13.421875" style="0" customWidth="1"/>
    <col min="4" max="4" width="7.140625" style="0" customWidth="1"/>
    <col min="5" max="20" width="4.57421875" style="0" customWidth="1"/>
  </cols>
  <sheetData>
    <row r="1" spans="1:20" ht="12.75">
      <c r="A1" s="104" t="s">
        <v>12</v>
      </c>
      <c r="B1" s="107" t="str">
        <f>INT((TODAY()-DATE(2015,9,27))/7)</f>
        <v>2</v>
      </c>
      <c r="C1" s="176" t="s">
        <v>336</v>
      </c>
      <c r="E1" s="179" t="str">
        <f ca="1">OFFSET('allocation-dev'!F1,0,B1)</f>
        <v>10/11/2015 0:00:00</v>
      </c>
      <c r="F1" s="31" t="str">
        <f aca="true" t="shared" si="0" ref="F1:T1">E1+7</f>
        <v>10/18</v>
      </c>
      <c r="G1" s="31" t="str">
        <f t="shared" si="0"/>
        <v>10/25</v>
      </c>
      <c r="H1" s="31" t="str">
        <f t="shared" si="0"/>
        <v>11/1</v>
      </c>
      <c r="I1" s="31" t="str">
        <f t="shared" si="0"/>
        <v>11/8</v>
      </c>
      <c r="J1" s="31" t="str">
        <f t="shared" si="0"/>
        <v>11/15</v>
      </c>
      <c r="K1" s="31" t="str">
        <f t="shared" si="0"/>
        <v>11/22</v>
      </c>
      <c r="L1" s="31" t="str">
        <f t="shared" si="0"/>
        <v>11/29</v>
      </c>
      <c r="M1" s="31" t="str">
        <f t="shared" si="0"/>
        <v>12/6</v>
      </c>
      <c r="N1" s="31" t="str">
        <f t="shared" si="0"/>
        <v>12/13</v>
      </c>
      <c r="O1" s="31" t="str">
        <f t="shared" si="0"/>
        <v>12/20</v>
      </c>
      <c r="P1" s="31" t="str">
        <f t="shared" si="0"/>
        <v>12/27</v>
      </c>
      <c r="Q1" s="31" t="str">
        <f t="shared" si="0"/>
        <v>1/3</v>
      </c>
      <c r="R1" s="31" t="str">
        <f t="shared" si="0"/>
        <v>1/10</v>
      </c>
      <c r="S1" s="31" t="str">
        <f t="shared" si="0"/>
        <v>1/17</v>
      </c>
      <c r="T1" s="31" t="str">
        <f t="shared" si="0"/>
        <v>1/24</v>
      </c>
    </row>
    <row r="2" spans="1:20" ht="12.75">
      <c r="A2" s="209" t="s">
        <v>141</v>
      </c>
      <c r="E2" s="211" t="str">
        <f ca="1">SUMIF('allocation-dev'!$C:$C,$A2&amp;"T",OFFSET('allocation-dev'!F:F,0,$B$1))</f>
        <v>24</v>
      </c>
      <c r="F2" s="211" t="str">
        <f ca="1">SUMIF('allocation-dev'!$C:$C,$A2&amp;"T",OFFSET('allocation-dev'!G:G,0,$B$1))</f>
        <v>0</v>
      </c>
      <c r="G2" s="211" t="str">
        <f ca="1">SUMIF('allocation-dev'!$C:$C,$A2&amp;"T",OFFSET('allocation-dev'!H:H,0,$B$1))</f>
        <v>10</v>
      </c>
      <c r="H2" s="211" t="str">
        <f ca="1">SUMIF('allocation-dev'!$C:$C,$A2&amp;"T",OFFSET('allocation-dev'!I:I,0,$B$1))</f>
        <v>9</v>
      </c>
      <c r="I2" s="211" t="str">
        <f ca="1">SUMIF('allocation-dev'!$C:$C,$A2&amp;"T",OFFSET('allocation-dev'!J:J,0,$B$1))</f>
        <v>8</v>
      </c>
      <c r="J2" s="211" t="str">
        <f ca="1">SUMIF('allocation-dev'!$C:$C,$A2&amp;"T",OFFSET('allocation-dev'!K:K,0,$B$1))</f>
        <v>7</v>
      </c>
      <c r="K2" s="211" t="str">
        <f ca="1">SUMIF('allocation-dev'!$C:$C,$A2&amp;"T",OFFSET('allocation-dev'!L:L,0,$B$1))</f>
        <v>0</v>
      </c>
      <c r="L2" s="211" t="str">
        <f ca="1">SUMIF('allocation-dev'!$C:$C,$A2&amp;"T",OFFSET('allocation-dev'!M:M,0,$B$1))</f>
        <v>0</v>
      </c>
      <c r="M2" s="211" t="str">
        <f ca="1">SUMIF('allocation-dev'!$C:$C,$A2&amp;"T",OFFSET('allocation-dev'!N:N,0,$B$1))</f>
        <v>0</v>
      </c>
      <c r="N2" s="211" t="str">
        <f ca="1">SUMIF('allocation-dev'!$C:$C,$A2&amp;"T",OFFSET('allocation-dev'!O:O,0,$B$1))</f>
        <v>-12</v>
      </c>
      <c r="O2" s="211" t="str">
        <f ca="1">SUMIF('allocation-dev'!$C:$C,$A2&amp;"T",OFFSET('allocation-dev'!P:P,0,$B$1))</f>
        <v>18</v>
      </c>
      <c r="P2" s="211" t="str">
        <f ca="1">SUMIF('allocation-dev'!$C:$C,$A2&amp;"T",OFFSET('allocation-dev'!Q:Q,0,$B$1))</f>
        <v>25</v>
      </c>
      <c r="Q2" s="211" t="str">
        <f ca="1">SUMIF('allocation-dev'!$C:$C,$A2&amp;"T",OFFSET('allocation-dev'!R:R,0,$B$1))</f>
        <v>22</v>
      </c>
      <c r="R2" s="211" t="str">
        <f ca="1">SUMIF('allocation-dev'!$C:$C,$A2&amp;"T",OFFSET('allocation-dev'!S:S,0,$B$1))</f>
        <v>12</v>
      </c>
      <c r="S2" s="211" t="str">
        <f ca="1">SUMIF('allocation-dev'!$C:$C,$A2&amp;"T",OFFSET('allocation-dev'!T:T,0,$B$1))</f>
        <v>0</v>
      </c>
      <c r="T2" s="211" t="str">
        <f ca="1">SUMIF('allocation-dev'!$C:$C,$A2&amp;"T",OFFSET('allocation-dev'!U:U,0,$B$1))</f>
        <v>0</v>
      </c>
    </row>
    <row r="3" spans="1:20" ht="12.75">
      <c r="A3" s="209" t="s">
        <v>430</v>
      </c>
      <c r="E3" s="211" t="str">
        <f ca="1">SUMIF('allocation-dev'!$C:$C,$A3&amp;"T",OFFSET('allocation-dev'!F:F,0,$B$1))</f>
        <v>19</v>
      </c>
      <c r="F3" s="211" t="str">
        <f ca="1">SUMIF('allocation-dev'!$C:$C,$A3&amp;"T",OFFSET('allocation-dev'!G:G,0,$B$1))</f>
        <v>5</v>
      </c>
      <c r="G3" s="211" t="str">
        <f ca="1">SUMIF('allocation-dev'!$C:$C,$A3&amp;"T",OFFSET('allocation-dev'!H:H,0,$B$1))</f>
        <v>18</v>
      </c>
      <c r="H3" s="211" t="str">
        <f ca="1">SUMIF('allocation-dev'!$C:$C,$A3&amp;"T",OFFSET('allocation-dev'!I:I,0,$B$1))</f>
        <v>22</v>
      </c>
      <c r="I3" s="211" t="str">
        <f ca="1">SUMIF('allocation-dev'!$C:$C,$A3&amp;"T",OFFSET('allocation-dev'!J:J,0,$B$1))</f>
        <v>18</v>
      </c>
      <c r="J3" s="211" t="str">
        <f ca="1">SUMIF('allocation-dev'!$C:$C,$A3&amp;"T",OFFSET('allocation-dev'!K:K,0,$B$1))</f>
        <v>18</v>
      </c>
      <c r="K3" s="211" t="str">
        <f ca="1">SUMIF('allocation-dev'!$C:$C,$A3&amp;"T",OFFSET('allocation-dev'!L:L,0,$B$1))</f>
        <v>18</v>
      </c>
      <c r="L3" s="211" t="str">
        <f ca="1">SUMIF('allocation-dev'!$C:$C,$A3&amp;"T",OFFSET('allocation-dev'!M:M,0,$B$1))</f>
        <v>18</v>
      </c>
      <c r="M3" s="211" t="str">
        <f ca="1">SUMIF('allocation-dev'!$C:$C,$A3&amp;"T",OFFSET('allocation-dev'!N:N,0,$B$1))</f>
        <v>18</v>
      </c>
      <c r="N3" s="211" t="str">
        <f ca="1">SUMIF('allocation-dev'!$C:$C,$A3&amp;"T",OFFSET('allocation-dev'!O:O,0,$B$1))</f>
        <v>18</v>
      </c>
      <c r="O3" s="211" t="str">
        <f ca="1">SUMIF('allocation-dev'!$C:$C,$A3&amp;"T",OFFSET('allocation-dev'!P:P,0,$B$1))</f>
        <v>18</v>
      </c>
      <c r="P3" s="211" t="str">
        <f ca="1">SUMIF('allocation-dev'!$C:$C,$A3&amp;"T",OFFSET('allocation-dev'!Q:Q,0,$B$1))</f>
        <v>18</v>
      </c>
      <c r="Q3" s="211" t="str">
        <f ca="1">SUMIF('allocation-dev'!$C:$C,$A3&amp;"T",OFFSET('allocation-dev'!R:R,0,$B$1))</f>
        <v>18</v>
      </c>
      <c r="R3" s="211" t="str">
        <f ca="1">SUMIF('allocation-dev'!$C:$C,$A3&amp;"T",OFFSET('allocation-dev'!S:S,0,$B$1))</f>
        <v>18</v>
      </c>
      <c r="S3" s="211" t="str">
        <f ca="1">SUMIF('allocation-dev'!$C:$C,$A3&amp;"T",OFFSET('allocation-dev'!T:T,0,$B$1))</f>
        <v>0</v>
      </c>
      <c r="T3" s="211" t="str">
        <f ca="1">SUMIF('allocation-dev'!$C:$C,$A3&amp;"T",OFFSET('allocation-dev'!U:U,0,$B$1))</f>
        <v>0</v>
      </c>
    </row>
    <row r="4" spans="1:20" ht="13.5" customHeight="1">
      <c r="A4" s="209" t="s">
        <v>527</v>
      </c>
      <c r="E4" s="211" t="str">
        <f ca="1">SUMIF('allocation-dev'!$C:$C,$A4&amp;"T",OFFSET('allocation-dev'!F:F,0,$B$1))</f>
        <v>18</v>
      </c>
      <c r="F4" s="211" t="str">
        <f ca="1">SUMIF('allocation-dev'!$C:$C,$A4&amp;"T",OFFSET('allocation-dev'!G:G,0,$B$1))</f>
        <v>-3</v>
      </c>
      <c r="G4" s="211" t="str">
        <f ca="1">SUMIF('allocation-dev'!$C:$C,$A4&amp;"T",OFFSET('allocation-dev'!H:H,0,$B$1))</f>
        <v>7</v>
      </c>
      <c r="H4" s="211" t="str">
        <f ca="1">SUMIF('allocation-dev'!$C:$C,$A4&amp;"T",OFFSET('allocation-dev'!I:I,0,$B$1))</f>
        <v>5</v>
      </c>
      <c r="I4" s="211" t="str">
        <f ca="1">SUMIF('allocation-dev'!$C:$C,$A4&amp;"T",OFFSET('allocation-dev'!J:J,0,$B$1))</f>
        <v>-5</v>
      </c>
      <c r="J4" s="211" t="str">
        <f ca="1">SUMIF('allocation-dev'!$C:$C,$A4&amp;"T",OFFSET('allocation-dev'!K:K,0,$B$1))</f>
        <v>-9</v>
      </c>
      <c r="K4" s="211" t="str">
        <f ca="1">SUMIF('allocation-dev'!$C:$C,$A4&amp;"T",OFFSET('allocation-dev'!L:L,0,$B$1))</f>
        <v>-5</v>
      </c>
      <c r="L4" s="211" t="str">
        <f ca="1">SUMIF('allocation-dev'!$C:$C,$A4&amp;"T",OFFSET('allocation-dev'!M:M,0,$B$1))</f>
        <v>-16</v>
      </c>
      <c r="M4" s="211" t="str">
        <f ca="1">SUMIF('allocation-dev'!$C:$C,$A4&amp;"T",OFFSET('allocation-dev'!N:N,0,$B$1))</f>
        <v>1</v>
      </c>
      <c r="N4" s="211" t="str">
        <f ca="1">SUMIF('allocation-dev'!$C:$C,$A4&amp;"T",OFFSET('allocation-dev'!O:O,0,$B$1))</f>
        <v>1</v>
      </c>
      <c r="O4" s="211" t="str">
        <f ca="1">SUMIF('allocation-dev'!$C:$C,$A4&amp;"T",OFFSET('allocation-dev'!P:P,0,$B$1))</f>
        <v>-4</v>
      </c>
      <c r="P4" s="211" t="str">
        <f ca="1">SUMIF('allocation-dev'!$C:$C,$A4&amp;"T",OFFSET('allocation-dev'!Q:Q,0,$B$1))</f>
        <v>-8</v>
      </c>
      <c r="Q4" s="211" t="str">
        <f ca="1">SUMIF('allocation-dev'!$C:$C,$A4&amp;"T",OFFSET('allocation-dev'!R:R,0,$B$1))</f>
        <v>-3</v>
      </c>
      <c r="R4" s="211" t="str">
        <f ca="1">SUMIF('allocation-dev'!$C:$C,$A4&amp;"T",OFFSET('allocation-dev'!S:S,0,$B$1))</f>
        <v>0</v>
      </c>
      <c r="S4" s="211" t="str">
        <f ca="1">SUMIF('allocation-dev'!$C:$C,$A4&amp;"T",OFFSET('allocation-dev'!T:T,0,$B$1))</f>
        <v>0</v>
      </c>
      <c r="T4" s="211" t="str">
        <f ca="1">SUMIF('allocation-dev'!$C:$C,$A4&amp;"T",OFFSET('allocation-dev'!U:U,0,$B$1))</f>
        <v>0</v>
      </c>
    </row>
    <row r="5" spans="1:20" ht="12.75">
      <c r="A5" s="209" t="s">
        <v>155</v>
      </c>
      <c r="E5" s="211" t="str">
        <f ca="1">SUMIF('allocation-pm'!$C:$C,$A5&amp;"T",OFFSET('allocation-pm'!F:F,0,$B$1))</f>
        <v>15</v>
      </c>
      <c r="F5" s="211" t="str">
        <f ca="1">SUMIF('allocation-pm'!$C:$C,$A5&amp;"T",OFFSET('allocation-pm'!G:G,0,$B$1))</f>
        <v>5</v>
      </c>
      <c r="G5" s="211" t="str">
        <f ca="1">SUMIF('allocation-pm'!$C:$C,$A5&amp;"T",OFFSET('allocation-pm'!H:H,0,$B$1))</f>
        <v>5</v>
      </c>
      <c r="H5" s="211" t="str">
        <f ca="1">SUMIF('allocation-pm'!$C:$C,$A5&amp;"T",OFFSET('allocation-pm'!I:I,0,$B$1))</f>
        <v>15</v>
      </c>
      <c r="I5" s="211" t="str">
        <f ca="1">SUMIF('allocation-pm'!$C:$C,$A5&amp;"T",OFFSET('allocation-pm'!J:J,0,$B$1))</f>
        <v>13</v>
      </c>
      <c r="J5" s="211" t="str">
        <f ca="1">SUMIF('allocation-pm'!$C:$C,$A5&amp;"T",OFFSET('allocation-pm'!K:K,0,$B$1))</f>
        <v>13</v>
      </c>
      <c r="K5" s="211" t="str">
        <f ca="1">SUMIF('allocation-pm'!$C:$C,$A5&amp;"T",OFFSET('allocation-pm'!L:L,0,$B$1))</f>
        <v>13</v>
      </c>
      <c r="L5" s="211" t="str">
        <f ca="1">SUMIF('allocation-pm'!$C:$C,$A5&amp;"T",OFFSET('allocation-pm'!M:M,0,$B$1))</f>
        <v>13</v>
      </c>
      <c r="M5" s="211" t="str">
        <f ca="1">SUMIF('allocation-pm'!$C:$C,$A5&amp;"T",OFFSET('allocation-pm'!N:N,0,$B$1))</f>
        <v>13</v>
      </c>
      <c r="N5" s="211" t="str">
        <f ca="1">SUMIF('allocation-pm'!$C:$C,$A5&amp;"T",OFFSET('allocation-pm'!O:O,0,$B$1))</f>
        <v>13</v>
      </c>
      <c r="O5" s="211" t="str">
        <f ca="1">SUMIF('allocation-pm'!$C:$C,$A5&amp;"T",OFFSET('allocation-pm'!P:P,0,$B$1))</f>
        <v>13</v>
      </c>
      <c r="P5" s="211" t="str">
        <f ca="1">SUMIF('allocation-pm'!$C:$C,$A5&amp;"T",OFFSET('allocation-pm'!Q:Q,0,$B$1))</f>
        <v>13</v>
      </c>
      <c r="Q5" s="211" t="str">
        <f ca="1">SUMIF('allocation-pm'!$C:$C,$A5&amp;"T",OFFSET('allocation-pm'!R:R,0,$B$1))</f>
        <v>13</v>
      </c>
      <c r="R5" s="211" t="str">
        <f ca="1">SUMIF('allocation-pm'!$C:$C,$A5&amp;"T",OFFSET('allocation-pm'!S:S,0,$B$1))</f>
        <v>13</v>
      </c>
      <c r="S5" s="211" t="str">
        <f ca="1">SUMIF('allocation-pm'!$C:$C,$A5&amp;"T",OFFSET('allocation-pm'!T:T,0,$B$1))</f>
        <v>0</v>
      </c>
      <c r="T5" s="211" t="str">
        <f ca="1">SUMIF('allocation-pm'!$C:$C,$A5&amp;"T",OFFSET('allocation-pm'!U:U,0,$B$1))</f>
        <v>0</v>
      </c>
    </row>
    <row r="6" spans="1:20" ht="12.75">
      <c r="A6" s="209" t="s">
        <v>256</v>
      </c>
      <c r="E6" s="211" t="str">
        <f ca="1">SUMIF('allocation-creative'!$C:$C,$A6&amp;"T",OFFSET('allocation-creative'!F:F,0,$B$1))</f>
        <v>-4</v>
      </c>
      <c r="F6" s="211" t="str">
        <f ca="1">SUMIF('allocation-creative'!$C:$C,$A6&amp;"T",OFFSET('allocation-creative'!G:G,0,$B$1))</f>
        <v>-5</v>
      </c>
      <c r="G6" s="211" t="str">
        <f ca="1">SUMIF('allocation-creative'!$C:$C,$A6&amp;"T",OFFSET('allocation-creative'!H:H,0,$B$1))</f>
        <v>-5</v>
      </c>
      <c r="H6" s="211" t="str">
        <f ca="1">SUMIF('allocation-creative'!$C:$C,$A6&amp;"T",OFFSET('allocation-creative'!I:I,0,$B$1))</f>
        <v>4</v>
      </c>
      <c r="I6" s="211" t="str">
        <f ca="1">SUMIF('allocation-creative'!$C:$C,$A6&amp;"T",OFFSET('allocation-creative'!J:J,0,$B$1))</f>
        <v>-14</v>
      </c>
      <c r="J6" s="211" t="str">
        <f ca="1">SUMIF('allocation-creative'!$C:$C,$A6&amp;"T",OFFSET('allocation-creative'!K:K,0,$B$1))</f>
        <v>-10</v>
      </c>
      <c r="K6" s="211" t="str">
        <f ca="1">SUMIF('allocation-creative'!$C:$C,$A6&amp;"T",OFFSET('allocation-creative'!L:L,0,$B$1))</f>
        <v>13</v>
      </c>
      <c r="L6" s="211" t="str">
        <f ca="1">SUMIF('allocation-creative'!$C:$C,$A6&amp;"T",OFFSET('allocation-creative'!M:M,0,$B$1))</f>
        <v>-2</v>
      </c>
      <c r="M6" s="211" t="str">
        <f ca="1">SUMIF('allocation-creative'!$C:$C,$A6&amp;"T",OFFSET('allocation-creative'!N:N,0,$B$1))</f>
        <v>9</v>
      </c>
      <c r="N6" s="211" t="str">
        <f ca="1">SUMIF('allocation-creative'!$C:$C,$A6&amp;"T",OFFSET('allocation-creative'!O:O,0,$B$1))</f>
        <v>10</v>
      </c>
      <c r="O6" s="211" t="str">
        <f ca="1">SUMIF('allocation-creative'!$C:$C,$A6&amp;"T",OFFSET('allocation-creative'!P:P,0,$B$1))</f>
        <v>-1</v>
      </c>
      <c r="P6" s="211" t="str">
        <f ca="1">SUMIF('allocation-creative'!$C:$C,$A6&amp;"T",OFFSET('allocation-creative'!Q:Q,0,$B$1))</f>
        <v>7</v>
      </c>
      <c r="Q6" s="211" t="str">
        <f ca="1">SUMIF('allocation-creative'!$C:$C,$A6&amp;"T",OFFSET('allocation-creative'!R:R,0,$B$1))</f>
        <v>-23</v>
      </c>
      <c r="R6" s="211" t="str">
        <f ca="1">SUMIF('allocation-creative'!$C:$C,$A6&amp;"T",OFFSET('allocation-creative'!S:S,0,$B$1))</f>
        <v>-5</v>
      </c>
      <c r="S6" s="211" t="str">
        <f ca="1">SUMIF('allocation-creative'!$C:$C,$A6&amp;"T",OFFSET('allocation-creative'!T:T,0,$B$1))</f>
        <v>0</v>
      </c>
      <c r="T6" s="211" t="str">
        <f ca="1">SUMIF('allocation-creative'!$C:$C,$A6&amp;"T",OFFSET('allocation-creative'!U:U,0,$B$1))</f>
        <v>0</v>
      </c>
    </row>
    <row r="7" spans="1:20" ht="12.75">
      <c r="A7" s="209" t="s">
        <v>237</v>
      </c>
      <c r="E7" s="211" t="str">
        <f ca="1">SUMIF('allocation-creative'!$C:$C,$A7&amp;"T",OFFSET('allocation-creative'!F:F,0,$B$1))</f>
        <v>-2</v>
      </c>
      <c r="F7" s="211" t="str">
        <f ca="1">SUMIF('allocation-creative'!$C:$C,$A7&amp;"T",OFFSET('allocation-creative'!G:G,0,$B$1))</f>
        <v>-2</v>
      </c>
      <c r="G7" s="211" t="str">
        <f ca="1">SUMIF('allocation-creative'!$C:$C,$A7&amp;"T",OFFSET('allocation-creative'!H:H,0,$B$1))</f>
        <v>16</v>
      </c>
      <c r="H7" s="211" t="str">
        <f ca="1">SUMIF('allocation-creative'!$C:$C,$A7&amp;"T",OFFSET('allocation-creative'!I:I,0,$B$1))</f>
        <v>11</v>
      </c>
      <c r="I7" s="211" t="str">
        <f ca="1">SUMIF('allocation-creative'!$C:$C,$A7&amp;"T",OFFSET('allocation-creative'!J:J,0,$B$1))</f>
        <v>0</v>
      </c>
      <c r="J7" s="211" t="str">
        <f ca="1">SUMIF('allocation-creative'!$C:$C,$A7&amp;"T",OFFSET('allocation-creative'!K:K,0,$B$1))</f>
        <v>3</v>
      </c>
      <c r="K7" s="211" t="str">
        <f ca="1">SUMIF('allocation-creative'!$C:$C,$A7&amp;"T",OFFSET('allocation-creative'!L:L,0,$B$1))</f>
        <v>-5</v>
      </c>
      <c r="L7" s="211" t="str">
        <f ca="1">SUMIF('allocation-creative'!$C:$C,$A7&amp;"T",OFFSET('allocation-creative'!M:M,0,$B$1))</f>
        <v>8</v>
      </c>
      <c r="M7" s="211" t="str">
        <f ca="1">SUMIF('allocation-creative'!$C:$C,$A7&amp;"T",OFFSET('allocation-creative'!N:N,0,$B$1))</f>
        <v>8</v>
      </c>
      <c r="N7" s="211" t="str">
        <f ca="1">SUMIF('allocation-creative'!$C:$C,$A7&amp;"T",OFFSET('allocation-creative'!O:O,0,$B$1))</f>
        <v>3</v>
      </c>
      <c r="O7" s="211" t="str">
        <f ca="1">SUMIF('allocation-creative'!$C:$C,$A7&amp;"T",OFFSET('allocation-creative'!P:P,0,$B$1))</f>
        <v>9</v>
      </c>
      <c r="P7" s="211" t="str">
        <f ca="1">SUMIF('allocation-creative'!$C:$C,$A7&amp;"T",OFFSET('allocation-creative'!Q:Q,0,$B$1))</f>
        <v>0</v>
      </c>
      <c r="Q7" s="211" t="str">
        <f ca="1">SUMIF('allocation-creative'!$C:$C,$A7&amp;"T",OFFSET('allocation-creative'!R:R,0,$B$1))</f>
        <v>12</v>
      </c>
      <c r="R7" s="211" t="str">
        <f ca="1">SUMIF('allocation-creative'!$C:$C,$A7&amp;"T",OFFSET('allocation-creative'!S:S,0,$B$1))</f>
        <v>6</v>
      </c>
      <c r="S7" s="211" t="str">
        <f ca="1">SUMIF('allocation-creative'!$C:$C,$A7&amp;"T",OFFSET('allocation-creative'!T:T,0,$B$1))</f>
        <v>0</v>
      </c>
      <c r="T7" s="211" t="str">
        <f ca="1">SUMIF('allocation-creative'!$C:$C,$A7&amp;"T",OFFSET('allocation-creative'!U:U,0,$B$1))</f>
        <v>0</v>
      </c>
    </row>
    <row r="8" spans="1:20" ht="12.75">
      <c r="A8" s="209" t="s">
        <v>205</v>
      </c>
      <c r="E8" s="211" t="str">
        <f ca="1">SUMIF('allocation-creative'!$C:$C,$A8&amp;"T",OFFSET('allocation-creative'!F:F,0,$B$1))</f>
        <v>9</v>
      </c>
      <c r="F8" s="211" t="str">
        <f ca="1">SUMIF('allocation-creative'!$C:$C,$A8&amp;"T",OFFSET('allocation-creative'!G:G,0,$B$1))</f>
        <v>12</v>
      </c>
      <c r="G8" s="211" t="str">
        <f ca="1">SUMIF('allocation-creative'!$C:$C,$A8&amp;"T",OFFSET('allocation-creative'!H:H,0,$B$1))</f>
        <v>8</v>
      </c>
      <c r="H8" s="211" t="str">
        <f ca="1">SUMIF('allocation-creative'!$C:$C,$A8&amp;"T",OFFSET('allocation-creative'!I:I,0,$B$1))</f>
        <v>7</v>
      </c>
      <c r="I8" s="211" t="str">
        <f ca="1">SUMIF('allocation-creative'!$C:$C,$A8&amp;"T",OFFSET('allocation-creative'!J:J,0,$B$1))</f>
        <v>8</v>
      </c>
      <c r="J8" s="211" t="str">
        <f ca="1">SUMIF('allocation-creative'!$C:$C,$A8&amp;"T",OFFSET('allocation-creative'!K:K,0,$B$1))</f>
        <v>8</v>
      </c>
      <c r="K8" s="211" t="str">
        <f ca="1">SUMIF('allocation-creative'!$C:$C,$A8&amp;"T",OFFSET('allocation-creative'!L:L,0,$B$1))</f>
        <v>10</v>
      </c>
      <c r="L8" s="211" t="str">
        <f ca="1">SUMIF('allocation-creative'!$C:$C,$A8&amp;"T",OFFSET('allocation-creative'!M:M,0,$B$1))</f>
        <v>3</v>
      </c>
      <c r="M8" s="211" t="str">
        <f ca="1">SUMIF('allocation-creative'!$C:$C,$A8&amp;"T",OFFSET('allocation-creative'!N:N,0,$B$1))</f>
        <v>4</v>
      </c>
      <c r="N8" s="211" t="str">
        <f ca="1">SUMIF('allocation-creative'!$C:$C,$A8&amp;"T",OFFSET('allocation-creative'!O:O,0,$B$1))</f>
        <v>14</v>
      </c>
      <c r="O8" s="211" t="str">
        <f ca="1">SUMIF('allocation-creative'!$C:$C,$A8&amp;"T",OFFSET('allocation-creative'!P:P,0,$B$1))</f>
        <v>0</v>
      </c>
      <c r="P8" s="211" t="str">
        <f ca="1">SUMIF('allocation-creative'!$C:$C,$A8&amp;"T",OFFSET('allocation-creative'!Q:Q,0,$B$1))</f>
        <v>12</v>
      </c>
      <c r="Q8" s="211" t="str">
        <f ca="1">SUMIF('allocation-creative'!$C:$C,$A8&amp;"T",OFFSET('allocation-creative'!R:R,0,$B$1))</f>
        <v>8</v>
      </c>
      <c r="R8" s="211" t="str">
        <f ca="1">SUMIF('allocation-creative'!$C:$C,$A8&amp;"T",OFFSET('allocation-creative'!S:S,0,$B$1))</f>
        <v>4</v>
      </c>
      <c r="S8" s="211" t="str">
        <f ca="1">SUMIF('allocation-creative'!$C:$C,$A8&amp;"T",OFFSET('allocation-creative'!T:T,0,$B$1))</f>
        <v>0</v>
      </c>
      <c r="T8" s="211" t="str">
        <f ca="1">SUMIF('allocation-creative'!$C:$C,$A8&amp;"T",OFFSET('allocation-creative'!U:U,0,$B$1))</f>
        <v>0</v>
      </c>
    </row>
  </sheetData>
  <mergeCells count="8">
    <mergeCell ref="A6:D6"/>
    <mergeCell ref="A7:D7"/>
    <mergeCell ref="A2:D2"/>
    <mergeCell ref="A3:D3"/>
    <mergeCell ref="A4:D4"/>
    <mergeCell ref="A5:D5"/>
    <mergeCell ref="A8:D8"/>
    <mergeCell ref="C1:D1"/>
  </mergeCells>
  <conditionalFormatting sqref="E2:T8">
    <cfRule type="cellIs" priority="1" dxfId="0" operator="lessThan">
      <formula>0</formula>
    </cfRule>
  </conditionalFormatting>
  <conditionalFormatting sqref="E2:T8">
    <cfRule type="cellIs" priority="2" dxfId="1" operator="greaterThan">
      <formula>0</formula>
    </cfRule>
  </conditionalFormatting>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E61"/>
  <sheetViews>
    <sheetView workbookViewId="0" topLeftCell="A1"/>
  </sheetViews>
  <sheetFormatPr defaultColWidth="14.421875" defaultRowHeight="12.75" customHeight="1"/>
  <cols>
    <col min="1" max="20" width="17.28125" style="0" customWidth="1"/>
  </cols>
  <sheetData>
    <row r="1" spans="1:5" ht="12.75">
      <c r="A1" s="6" t="s">
        <v>14</v>
      </c>
      <c r="B1" s="42"/>
      <c r="C1" s="44"/>
      <c r="D1" s="75" t="s">
        <v>233</v>
      </c>
      <c r="E1" s="19"/>
    </row>
    <row r="2" spans="1:5" ht="12.75">
      <c r="A2" s="81" t="s">
        <v>240</v>
      </c>
      <c r="B2" s="112">
        <v>10</v>
      </c>
      <c r="C2" s="113" t="s">
        <v>348</v>
      </c>
      <c r="D2" s="167">
        <v>4</v>
      </c>
      <c r="E2" s="19"/>
    </row>
    <row r="3" spans="1:5" ht="12.75">
      <c r="A3" s="81" t="s">
        <v>10</v>
      </c>
      <c r="B3" s="81" t="s">
        <v>4</v>
      </c>
      <c r="C3" s="166" t="s">
        <v>555</v>
      </c>
      <c r="D3" s="166" t="s">
        <v>576</v>
      </c>
      <c r="E3" s="19"/>
    </row>
    <row r="4" spans="1:5" ht="12.75">
      <c r="A4" s="123" t="s">
        <v>155</v>
      </c>
      <c r="B4" s="123" t="s">
        <v>578</v>
      </c>
      <c r="C4" s="169" t="s">
        <v>579</v>
      </c>
      <c r="D4" s="170">
        <v>1</v>
      </c>
      <c r="E4" s="19"/>
    </row>
    <row r="5" spans="1:5" ht="12.75">
      <c r="A5" s="123" t="s">
        <v>582</v>
      </c>
      <c r="B5" s="123" t="s">
        <v>583</v>
      </c>
      <c r="C5" s="169" t="s">
        <v>584</v>
      </c>
      <c r="D5" s="170">
        <v>2</v>
      </c>
      <c r="E5" s="19"/>
    </row>
    <row r="6" spans="1:5" ht="12.75">
      <c r="A6" s="123" t="s">
        <v>585</v>
      </c>
      <c r="B6" s="123" t="s">
        <v>586</v>
      </c>
      <c r="C6" s="169" t="s">
        <v>584</v>
      </c>
      <c r="D6" s="170">
        <v>0.2</v>
      </c>
      <c r="E6" s="19"/>
    </row>
    <row r="7" spans="1:5" ht="12.75">
      <c r="A7" s="123" t="s">
        <v>588</v>
      </c>
      <c r="B7" s="123" t="s">
        <v>589</v>
      </c>
      <c r="C7" s="169" t="s">
        <v>590</v>
      </c>
      <c r="D7" s="170">
        <v>0.15</v>
      </c>
      <c r="E7" s="19"/>
    </row>
    <row r="8" spans="1:5" ht="12.75">
      <c r="A8" s="123" t="s">
        <v>256</v>
      </c>
      <c r="B8" s="123" t="s">
        <v>591</v>
      </c>
      <c r="C8" s="169" t="s">
        <v>592</v>
      </c>
      <c r="D8" s="170">
        <v>0.05</v>
      </c>
      <c r="E8" s="19"/>
    </row>
    <row r="9" spans="1:5" ht="12.75">
      <c r="A9" s="123" t="s">
        <v>594</v>
      </c>
      <c r="B9" s="123" t="s">
        <v>596</v>
      </c>
      <c r="C9" s="169" t="s">
        <v>592</v>
      </c>
      <c r="D9" s="170">
        <v>1</v>
      </c>
      <c r="E9" s="19"/>
    </row>
    <row r="10" spans="1:5" ht="12.75">
      <c r="A10" s="123" t="s">
        <v>527</v>
      </c>
      <c r="B10" s="123" t="s">
        <v>597</v>
      </c>
      <c r="C10" s="169" t="s">
        <v>590</v>
      </c>
      <c r="D10" s="170">
        <v>1</v>
      </c>
      <c r="E10" s="19"/>
    </row>
    <row r="11" spans="1:4" ht="12.75">
      <c r="A11" s="21"/>
      <c r="B11" s="21"/>
      <c r="C11" s="21"/>
      <c r="D11" s="21"/>
    </row>
    <row r="12" spans="1:4" ht="12.75">
      <c r="A12" s="182"/>
      <c r="B12" s="182"/>
      <c r="C12" s="182"/>
      <c r="D12" s="182"/>
    </row>
    <row r="13" spans="1:5" ht="12.75">
      <c r="A13" s="6" t="s">
        <v>532</v>
      </c>
      <c r="B13" s="42"/>
      <c r="C13" s="44"/>
      <c r="D13" s="75" t="s">
        <v>233</v>
      </c>
      <c r="E13" s="208">
        <v>41654</v>
      </c>
    </row>
    <row r="14" spans="1:5" ht="12.75">
      <c r="A14" s="81" t="s">
        <v>240</v>
      </c>
      <c r="B14" s="112">
        <v>5</v>
      </c>
      <c r="C14" s="113" t="s">
        <v>653</v>
      </c>
      <c r="D14" s="167">
        <v>2</v>
      </c>
      <c r="E14" s="19"/>
    </row>
    <row r="15" spans="1:5" ht="12.75">
      <c r="A15" s="81" t="s">
        <v>10</v>
      </c>
      <c r="B15" s="81" t="s">
        <v>4</v>
      </c>
      <c r="C15" s="166" t="s">
        <v>555</v>
      </c>
      <c r="D15" s="166" t="s">
        <v>576</v>
      </c>
      <c r="E15" s="19"/>
    </row>
    <row r="16" spans="1:5" ht="12.75">
      <c r="A16" s="123" t="s">
        <v>594</v>
      </c>
      <c r="B16" s="123" t="s">
        <v>596</v>
      </c>
      <c r="C16" s="169" t="s">
        <v>592</v>
      </c>
      <c r="D16" s="170">
        <v>0</v>
      </c>
      <c r="E16" s="19"/>
    </row>
    <row r="17" spans="1:5" ht="12.75">
      <c r="A17" s="123" t="s">
        <v>582</v>
      </c>
      <c r="B17" s="123" t="s">
        <v>583</v>
      </c>
      <c r="C17" s="169" t="s">
        <v>592</v>
      </c>
      <c r="D17" s="170">
        <v>0.1</v>
      </c>
      <c r="E17" s="19"/>
    </row>
    <row r="18" spans="1:5" ht="12.75">
      <c r="A18" s="123" t="s">
        <v>585</v>
      </c>
      <c r="B18" s="123" t="s">
        <v>586</v>
      </c>
      <c r="C18" s="169" t="s">
        <v>584</v>
      </c>
      <c r="D18" s="170">
        <v>0</v>
      </c>
      <c r="E18" s="19"/>
    </row>
    <row r="19" spans="1:5" ht="12.75">
      <c r="A19" s="123" t="s">
        <v>588</v>
      </c>
      <c r="B19" s="123" t="s">
        <v>589</v>
      </c>
      <c r="C19" s="169" t="s">
        <v>590</v>
      </c>
      <c r="D19" s="170">
        <v>0.05</v>
      </c>
      <c r="E19" s="19"/>
    </row>
    <row r="20" spans="1:5" ht="12.75">
      <c r="A20" s="123" t="s">
        <v>155</v>
      </c>
      <c r="B20" s="123" t="s">
        <v>578</v>
      </c>
      <c r="C20" s="169" t="s">
        <v>579</v>
      </c>
      <c r="D20" s="170">
        <v>0.25</v>
      </c>
      <c r="E20" s="19"/>
    </row>
    <row r="21" spans="1:5" ht="12.75">
      <c r="A21" s="123" t="s">
        <v>527</v>
      </c>
      <c r="B21" s="123" t="s">
        <v>597</v>
      </c>
      <c r="C21" s="169" t="s">
        <v>590</v>
      </c>
      <c r="D21" s="170">
        <v>0.25</v>
      </c>
      <c r="E21" s="19"/>
    </row>
    <row r="22" spans="1:5" ht="12.75">
      <c r="A22" s="123" t="s">
        <v>256</v>
      </c>
      <c r="B22" s="123" t="s">
        <v>591</v>
      </c>
      <c r="C22" s="169" t="s">
        <v>592</v>
      </c>
      <c r="D22" s="170">
        <v>0.05</v>
      </c>
      <c r="E22" s="19"/>
    </row>
    <row r="23" spans="1:4" ht="12.75">
      <c r="A23" s="21"/>
      <c r="B23" s="21"/>
      <c r="C23" s="21"/>
      <c r="D23" s="21"/>
    </row>
    <row r="24" spans="1:4" ht="12.75">
      <c r="A24" s="182"/>
      <c r="B24" s="182"/>
      <c r="C24" s="182"/>
      <c r="D24" s="182"/>
    </row>
    <row r="25" spans="1:5" ht="12.75">
      <c r="A25" s="6" t="s">
        <v>657</v>
      </c>
      <c r="B25" s="42"/>
      <c r="C25" s="44"/>
      <c r="D25" s="75" t="s">
        <v>233</v>
      </c>
      <c r="E25" s="208">
        <v>41661</v>
      </c>
    </row>
    <row r="26" spans="1:5" ht="12.75">
      <c r="A26" s="81" t="s">
        <v>240</v>
      </c>
      <c r="B26" s="112">
        <v>7</v>
      </c>
      <c r="C26" s="113" t="s">
        <v>660</v>
      </c>
      <c r="D26" s="167">
        <v>3</v>
      </c>
      <c r="E26" s="19"/>
    </row>
    <row r="27" spans="1:5" ht="12.75">
      <c r="A27" s="81" t="s">
        <v>10</v>
      </c>
      <c r="B27" s="81" t="s">
        <v>4</v>
      </c>
      <c r="C27" s="166" t="s">
        <v>555</v>
      </c>
      <c r="D27" s="166" t="s">
        <v>576</v>
      </c>
      <c r="E27" s="19"/>
    </row>
    <row r="28" spans="1:5" ht="12.75">
      <c r="A28" s="123" t="s">
        <v>155</v>
      </c>
      <c r="B28" s="123" t="s">
        <v>578</v>
      </c>
      <c r="C28" s="169" t="s">
        <v>579</v>
      </c>
      <c r="D28" s="170">
        <v>0.15</v>
      </c>
      <c r="E28" s="19"/>
    </row>
    <row r="29" spans="1:5" ht="12.75">
      <c r="A29" s="123" t="s">
        <v>582</v>
      </c>
      <c r="B29" s="123" t="s">
        <v>583</v>
      </c>
      <c r="C29" s="169" t="s">
        <v>584</v>
      </c>
      <c r="D29" s="170">
        <v>1</v>
      </c>
      <c r="E29" s="19"/>
    </row>
    <row r="30" spans="1:5" ht="12.75">
      <c r="A30" s="123" t="s">
        <v>585</v>
      </c>
      <c r="B30" s="123" t="s">
        <v>586</v>
      </c>
      <c r="C30" s="169" t="s">
        <v>584</v>
      </c>
      <c r="D30" s="170">
        <v>0</v>
      </c>
      <c r="E30" s="19"/>
    </row>
    <row r="31" spans="1:5" ht="12.75">
      <c r="A31" s="123" t="s">
        <v>588</v>
      </c>
      <c r="B31" s="123" t="s">
        <v>589</v>
      </c>
      <c r="C31" s="169" t="s">
        <v>590</v>
      </c>
      <c r="D31" s="170">
        <v>0.2</v>
      </c>
      <c r="E31" s="19"/>
    </row>
    <row r="32" spans="1:5" ht="12.75">
      <c r="A32" s="123" t="s">
        <v>256</v>
      </c>
      <c r="B32" s="123" t="s">
        <v>591</v>
      </c>
      <c r="C32" s="169" t="s">
        <v>592</v>
      </c>
      <c r="D32" s="170">
        <v>0.5</v>
      </c>
      <c r="E32" s="19"/>
    </row>
    <row r="33" spans="1:5" ht="12.75">
      <c r="A33" s="123" t="s">
        <v>594</v>
      </c>
      <c r="B33" s="123" t="s">
        <v>596</v>
      </c>
      <c r="C33" s="169" t="s">
        <v>592</v>
      </c>
      <c r="D33" s="170">
        <v>0.5</v>
      </c>
      <c r="E33" s="19"/>
    </row>
    <row r="34" spans="1:5" ht="12.75">
      <c r="A34" s="123" t="s">
        <v>527</v>
      </c>
      <c r="B34" s="123" t="s">
        <v>597</v>
      </c>
      <c r="C34" s="169" t="s">
        <v>590</v>
      </c>
      <c r="D34" s="170">
        <v>0.4</v>
      </c>
      <c r="E34" s="19"/>
    </row>
    <row r="35" spans="1:4" ht="12.75">
      <c r="A35" s="21"/>
      <c r="B35" s="21"/>
      <c r="C35" s="21"/>
      <c r="D35" s="21"/>
    </row>
    <row r="36" spans="1:4" ht="12.75">
      <c r="A36" s="182"/>
      <c r="B36" s="182"/>
      <c r="C36" s="182"/>
      <c r="D36" s="182"/>
    </row>
    <row r="37" spans="1:5" ht="12.75">
      <c r="A37" s="6" t="s">
        <v>666</v>
      </c>
      <c r="B37" s="42"/>
      <c r="C37" s="44"/>
      <c r="D37" s="75" t="s">
        <v>233</v>
      </c>
      <c r="E37" s="208">
        <v>41661</v>
      </c>
    </row>
    <row r="38" spans="1:5" ht="12.75">
      <c r="A38" s="81" t="s">
        <v>240</v>
      </c>
      <c r="B38" s="112">
        <v>7</v>
      </c>
      <c r="C38" s="113" t="s">
        <v>660</v>
      </c>
      <c r="D38" s="167">
        <v>3</v>
      </c>
      <c r="E38" s="19"/>
    </row>
    <row r="39" spans="1:5" ht="12.75">
      <c r="A39" s="81" t="s">
        <v>10</v>
      </c>
      <c r="B39" s="81" t="s">
        <v>4</v>
      </c>
      <c r="C39" s="166" t="s">
        <v>555</v>
      </c>
      <c r="D39" s="166" t="s">
        <v>576</v>
      </c>
      <c r="E39" s="19"/>
    </row>
    <row r="40" spans="1:5" ht="12.75">
      <c r="A40" s="123" t="s">
        <v>155</v>
      </c>
      <c r="B40" s="123" t="s">
        <v>578</v>
      </c>
      <c r="C40" s="169" t="s">
        <v>579</v>
      </c>
      <c r="D40" s="170">
        <v>0.15</v>
      </c>
      <c r="E40" s="19"/>
    </row>
    <row r="41" spans="1:5" ht="12.75">
      <c r="A41" s="123" t="s">
        <v>582</v>
      </c>
      <c r="B41" s="123" t="s">
        <v>583</v>
      </c>
      <c r="C41" s="169" t="s">
        <v>584</v>
      </c>
      <c r="D41" s="170">
        <v>0.05</v>
      </c>
      <c r="E41" s="19"/>
    </row>
    <row r="42" spans="1:5" ht="12.75">
      <c r="A42" s="123" t="s">
        <v>585</v>
      </c>
      <c r="B42" s="123" t="s">
        <v>586</v>
      </c>
      <c r="C42" s="169" t="s">
        <v>584</v>
      </c>
      <c r="D42" s="170">
        <v>0.2</v>
      </c>
      <c r="E42" s="19"/>
    </row>
    <row r="43" spans="1:5" ht="12.75">
      <c r="A43" s="123" t="s">
        <v>588</v>
      </c>
      <c r="B43" s="123" t="s">
        <v>589</v>
      </c>
      <c r="C43" s="169" t="s">
        <v>590</v>
      </c>
      <c r="D43" s="170">
        <v>0.1</v>
      </c>
      <c r="E43" s="19"/>
    </row>
    <row r="44" spans="1:5" ht="12.75">
      <c r="A44" s="123" t="s">
        <v>256</v>
      </c>
      <c r="B44" s="123" t="s">
        <v>591</v>
      </c>
      <c r="C44" s="169" t="s">
        <v>592</v>
      </c>
      <c r="D44" s="170">
        <v>0.07</v>
      </c>
      <c r="E44" s="19"/>
    </row>
    <row r="45" spans="1:5" ht="12.75">
      <c r="A45" s="123" t="s">
        <v>594</v>
      </c>
      <c r="B45" s="123" t="s">
        <v>596</v>
      </c>
      <c r="C45" s="169" t="s">
        <v>592</v>
      </c>
      <c r="D45" s="170">
        <v>0.1</v>
      </c>
      <c r="E45" s="19"/>
    </row>
    <row r="46" spans="1:5" ht="12.75">
      <c r="A46" s="123" t="s">
        <v>527</v>
      </c>
      <c r="B46" s="123" t="s">
        <v>597</v>
      </c>
      <c r="C46" s="169" t="s">
        <v>590</v>
      </c>
      <c r="D46" s="170">
        <v>0.2</v>
      </c>
      <c r="E46" s="19"/>
    </row>
    <row r="47" spans="1:4" ht="12.75">
      <c r="A47" s="21"/>
      <c r="B47" s="21"/>
      <c r="C47" s="21"/>
      <c r="D47" s="21"/>
    </row>
    <row r="48" spans="1:4" ht="12.75">
      <c r="A48" s="182"/>
      <c r="B48" s="182"/>
      <c r="C48" s="182"/>
      <c r="D48" s="182"/>
    </row>
    <row r="49" spans="1:5" ht="12.75">
      <c r="A49" s="6" t="s">
        <v>288</v>
      </c>
      <c r="B49" s="42"/>
      <c r="C49" s="44"/>
      <c r="D49" s="75" t="s">
        <v>233</v>
      </c>
      <c r="E49" s="208">
        <v>41711</v>
      </c>
    </row>
    <row r="50" spans="1:5" ht="12.75">
      <c r="A50" s="81" t="s">
        <v>240</v>
      </c>
      <c r="B50" s="112">
        <v>9</v>
      </c>
      <c r="C50" s="113" t="s">
        <v>660</v>
      </c>
      <c r="D50" s="167">
        <v>3</v>
      </c>
      <c r="E50" s="19"/>
    </row>
    <row r="51" spans="1:5" ht="12.75">
      <c r="A51" s="81" t="s">
        <v>10</v>
      </c>
      <c r="B51" s="81" t="s">
        <v>4</v>
      </c>
      <c r="C51" s="166" t="s">
        <v>555</v>
      </c>
      <c r="D51" s="166" t="s">
        <v>576</v>
      </c>
      <c r="E51" s="19"/>
    </row>
    <row r="52" spans="1:5" ht="12.75">
      <c r="A52" s="123" t="s">
        <v>703</v>
      </c>
      <c r="B52" s="123" t="s">
        <v>705</v>
      </c>
      <c r="C52" s="169" t="s">
        <v>584</v>
      </c>
      <c r="D52" s="170">
        <v>0</v>
      </c>
      <c r="E52" s="19"/>
    </row>
    <row r="53" spans="1:5" ht="12.75">
      <c r="A53" s="123" t="s">
        <v>594</v>
      </c>
      <c r="B53" s="123" t="s">
        <v>596</v>
      </c>
      <c r="C53" s="169" t="s">
        <v>592</v>
      </c>
      <c r="D53" s="170">
        <v>0.1</v>
      </c>
      <c r="E53" s="19"/>
    </row>
    <row r="54" spans="1:5" ht="12.75">
      <c r="A54" s="123" t="s">
        <v>582</v>
      </c>
      <c r="B54" s="123" t="s">
        <v>583</v>
      </c>
      <c r="C54" s="169" t="s">
        <v>584</v>
      </c>
      <c r="D54" s="170">
        <v>1</v>
      </c>
      <c r="E54" s="19"/>
    </row>
    <row r="55" spans="1:5" ht="12.75">
      <c r="A55" s="123" t="s">
        <v>585</v>
      </c>
      <c r="B55" s="123" t="s">
        <v>586</v>
      </c>
      <c r="C55" s="169" t="s">
        <v>584</v>
      </c>
      <c r="D55" s="170">
        <v>1</v>
      </c>
      <c r="E55" s="19"/>
    </row>
    <row r="56" spans="1:5" ht="12.75">
      <c r="A56" s="123" t="s">
        <v>588</v>
      </c>
      <c r="B56" s="123" t="s">
        <v>589</v>
      </c>
      <c r="C56" s="169" t="s">
        <v>590</v>
      </c>
      <c r="D56" s="170">
        <v>0.05</v>
      </c>
      <c r="E56" s="19"/>
    </row>
    <row r="57" spans="1:5" ht="12.75">
      <c r="A57" s="123" t="s">
        <v>717</v>
      </c>
      <c r="B57" s="123" t="s">
        <v>718</v>
      </c>
      <c r="C57" s="169" t="s">
        <v>584</v>
      </c>
      <c r="D57" s="170">
        <v>0</v>
      </c>
      <c r="E57" s="19"/>
    </row>
    <row r="58" spans="1:5" ht="12.75">
      <c r="A58" s="123" t="s">
        <v>155</v>
      </c>
      <c r="B58" s="123" t="s">
        <v>578</v>
      </c>
      <c r="C58" s="169" t="s">
        <v>579</v>
      </c>
      <c r="D58" s="170">
        <v>0.05</v>
      </c>
      <c r="E58" s="19"/>
    </row>
    <row r="59" spans="1:5" ht="12.75">
      <c r="A59" s="123" t="s">
        <v>527</v>
      </c>
      <c r="B59" s="123" t="s">
        <v>597</v>
      </c>
      <c r="C59" s="169" t="s">
        <v>590</v>
      </c>
      <c r="D59" s="170">
        <v>0.2</v>
      </c>
      <c r="E59" s="19"/>
    </row>
    <row r="60" spans="1:5" ht="12.75">
      <c r="A60" s="123" t="s">
        <v>256</v>
      </c>
      <c r="B60" s="123" t="s">
        <v>591</v>
      </c>
      <c r="C60" s="169" t="s">
        <v>592</v>
      </c>
      <c r="D60" s="170">
        <v>0</v>
      </c>
      <c r="E60" s="19"/>
    </row>
    <row r="61" spans="1:4" ht="12.75">
      <c r="A61" s="21"/>
      <c r="B61" s="21"/>
      <c r="C61" s="21"/>
      <c r="D61" s="21"/>
    </row>
  </sheetData>
  <mergeCells count="5">
    <mergeCell ref="A1:C1"/>
    <mergeCell ref="A13:C13"/>
    <mergeCell ref="A25:C25"/>
    <mergeCell ref="A37:C37"/>
    <mergeCell ref="A49:C49"/>
  </mergeCells>
  <dataValidations count="3">
    <dataValidation type="decimal" allowBlank="1" showErrorMessage="1" sqref="B2 B14 B26 B38 B50">
      <formula1>1</formula1>
      <formula2>10</formula2>
    </dataValidation>
    <dataValidation type="list" allowBlank="1" sqref="A1 A13 A25 A37 A49">
      <formula1>apm!$B$6:$B$42</formula1>
    </dataValidation>
    <dataValidation type="list" allowBlank="1" sqref="C4:C10 C16:C22 C28:C34 C40:C46 C52:C60">
      <formula1>"builds,constant,peaks,tapers"</formula1>
    </dataValidation>
  </dataValidation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J54"/>
  <sheetViews>
    <sheetView workbookViewId="0" topLeftCell="A1">
      <pane xSplit="5" topLeftCell="F1" activePane="topRight" state="frozen"/>
      <selection pane="topRight" activeCell="G2" sqref="G2"/>
    </sheetView>
  </sheetViews>
  <sheetFormatPr defaultColWidth="14.421875" defaultRowHeight="12.75" customHeight="1"/>
  <cols>
    <col min="1" max="1" width="44.140625" style="0" customWidth="1"/>
    <col min="2" max="2" width="9.140625" style="0" hidden="1" customWidth="1"/>
    <col min="3" max="3" width="5.7109375" style="0" hidden="1" customWidth="1"/>
    <col min="4" max="4" width="9.28125" style="0" hidden="1" customWidth="1"/>
    <col min="5" max="5" width="6.140625" style="0" customWidth="1"/>
    <col min="6" max="6" width="29.8515625" style="0" customWidth="1"/>
    <col min="7" max="7" width="10.7109375" style="0" customWidth="1"/>
    <col min="8" max="8" width="30.8515625" style="0" customWidth="1"/>
    <col min="9" max="9" width="9.28125" style="0" customWidth="1"/>
    <col min="10" max="10" width="17.28125" style="0" customWidth="1"/>
  </cols>
  <sheetData>
    <row r="1" spans="1:10" ht="12.75">
      <c r="A1" s="5"/>
      <c r="B1" s="5"/>
      <c r="C1" s="7"/>
      <c r="D1" s="7"/>
      <c r="E1" s="100"/>
      <c r="F1" s="71" t="s">
        <v>112</v>
      </c>
      <c r="G1" s="72" t="s">
        <v>229</v>
      </c>
      <c r="H1" s="101" t="s">
        <v>231</v>
      </c>
      <c r="I1" s="102" t="s">
        <v>318</v>
      </c>
      <c r="J1" s="44"/>
    </row>
    <row r="2" spans="1:10" ht="12.75">
      <c r="A2" s="1" t="s">
        <v>322</v>
      </c>
      <c r="B2" s="4"/>
      <c r="C2" s="103"/>
      <c r="D2" s="103"/>
      <c r="E2" s="108" t="s">
        <v>180</v>
      </c>
      <c r="F2" s="60" t="s">
        <v>188</v>
      </c>
      <c r="G2" s="110"/>
      <c r="H2" s="62" t="s">
        <v>133</v>
      </c>
      <c r="I2" s="111"/>
      <c r="J2" s="171" t="s">
        <v>9</v>
      </c>
    </row>
    <row r="3" spans="1:10" ht="12.75">
      <c r="A3" s="8" t="s">
        <v>595</v>
      </c>
      <c r="B3" s="5"/>
      <c r="C3" s="7"/>
      <c r="D3" s="7"/>
      <c r="E3" s="165" t="str">
        <f aca="true" t="shared" si="0" ref="E3:E25">I3/G3</f>
        <v>1.50</v>
      </c>
      <c r="F3" s="173" t="s">
        <v>598</v>
      </c>
      <c r="G3" s="175" t="str">
        <f>VLOOKUP(F3,'fom-pulldowns'!$C$9:$D$18,2,FALSE)</f>
        <v>2</v>
      </c>
      <c r="H3" s="177" t="s">
        <v>599</v>
      </c>
      <c r="I3" s="178" t="str">
        <f>VLOOKUP(H3,'fom-pulldowns'!$C$22:$D$31,2,FALSE)</f>
        <v>3</v>
      </c>
      <c r="J3" s="180" t="s">
        <v>608</v>
      </c>
    </row>
    <row r="4" spans="1:10" ht="12.75">
      <c r="A4" s="8" t="s">
        <v>613</v>
      </c>
      <c r="B4" s="5"/>
      <c r="C4" s="7"/>
      <c r="D4" s="7"/>
      <c r="E4" s="165" t="str">
        <f t="shared" si="0"/>
        <v>1.50</v>
      </c>
      <c r="F4" s="173" t="s">
        <v>598</v>
      </c>
      <c r="G4" s="183" t="str">
        <f>VLOOKUP(F4,'fom-pulldowns'!$C$9:$D$18,2,FALSE)</f>
        <v>2</v>
      </c>
      <c r="H4" s="177" t="s">
        <v>599</v>
      </c>
      <c r="I4" s="185" t="str">
        <f>VLOOKUP(H4,'fom-pulldowns'!$C$22:$D$31,2,FALSE)</f>
        <v>3</v>
      </c>
      <c r="J4" s="180" t="s">
        <v>618</v>
      </c>
    </row>
    <row r="5" spans="1:10" ht="12.75">
      <c r="A5" s="8" t="s">
        <v>619</v>
      </c>
      <c r="B5" s="5"/>
      <c r="C5" s="7"/>
      <c r="D5" s="7"/>
      <c r="E5" s="165" t="str">
        <f t="shared" si="0"/>
        <v>1.25</v>
      </c>
      <c r="F5" s="173" t="s">
        <v>621</v>
      </c>
      <c r="G5" s="183" t="str">
        <f>VLOOKUP(F5,'fom-pulldowns'!$C$9:$D$18,2,FALSE)</f>
        <v>4</v>
      </c>
      <c r="H5" s="177" t="s">
        <v>622</v>
      </c>
      <c r="I5" s="185" t="str">
        <f>VLOOKUP(H5,'fom-pulldowns'!$C$22:$D$31,2,FALSE)</f>
        <v>5</v>
      </c>
      <c r="J5" s="180" t="s">
        <v>623</v>
      </c>
    </row>
    <row r="6" spans="1:10" ht="12.75">
      <c r="A6" s="8" t="s">
        <v>624</v>
      </c>
      <c r="B6" s="5"/>
      <c r="C6" s="7"/>
      <c r="D6" s="7"/>
      <c r="E6" s="165" t="str">
        <f t="shared" si="0"/>
        <v>1.25</v>
      </c>
      <c r="F6" s="173" t="s">
        <v>621</v>
      </c>
      <c r="G6" s="175" t="str">
        <f>VLOOKUP(F6,'fom-pulldowns'!$C$9:$D$18,2,FALSE)</f>
        <v>4</v>
      </c>
      <c r="H6" s="177" t="s">
        <v>622</v>
      </c>
      <c r="I6" s="178" t="str">
        <f>VLOOKUP(H6,'fom-pulldowns'!$C$22:$D$31,2,FALSE)</f>
        <v>5</v>
      </c>
      <c r="J6" s="180" t="s">
        <v>628</v>
      </c>
    </row>
    <row r="7" spans="1:10" ht="12.75">
      <c r="A7" s="207" t="s">
        <v>629</v>
      </c>
      <c r="B7" s="5"/>
      <c r="C7" s="7"/>
      <c r="D7" s="7"/>
      <c r="E7" s="165" t="str">
        <f t="shared" si="0"/>
        <v>1.00</v>
      </c>
      <c r="F7" s="173" t="s">
        <v>598</v>
      </c>
      <c r="G7" s="183" t="str">
        <f>VLOOKUP(F7,'fom-pulldowns'!$C$9:$D$18,2,FALSE)</f>
        <v>2</v>
      </c>
      <c r="H7" s="177" t="s">
        <v>652</v>
      </c>
      <c r="I7" s="185" t="str">
        <f>VLOOKUP(H7,'fom-pulldowns'!$C$22:$D$31,2,FALSE)</f>
        <v>2</v>
      </c>
      <c r="J7" s="180" t="s">
        <v>654</v>
      </c>
    </row>
    <row r="8" spans="1:10" ht="12.75">
      <c r="A8" s="8" t="s">
        <v>655</v>
      </c>
      <c r="B8" s="5"/>
      <c r="C8" s="7"/>
      <c r="D8" s="7"/>
      <c r="E8" s="165" t="str">
        <f t="shared" si="0"/>
        <v>0.75</v>
      </c>
      <c r="F8" s="173" t="s">
        <v>621</v>
      </c>
      <c r="G8" s="175" t="str">
        <f>VLOOKUP(F8,'fom-pulldowns'!$C$9:$D$18,2,FALSE)</f>
        <v>4</v>
      </c>
      <c r="H8" s="177" t="s">
        <v>599</v>
      </c>
      <c r="I8" s="178" t="str">
        <f>VLOOKUP(H8,'fom-pulldowns'!$C$22:$D$31,2,FALSE)</f>
        <v>3</v>
      </c>
      <c r="J8" s="180" t="s">
        <v>608</v>
      </c>
    </row>
    <row r="9" spans="1:10" ht="12.75">
      <c r="A9" s="8" t="s">
        <v>658</v>
      </c>
      <c r="B9" s="5"/>
      <c r="C9" s="7"/>
      <c r="D9" s="7"/>
      <c r="E9" s="165" t="str">
        <f t="shared" si="0"/>
        <v>0.75</v>
      </c>
      <c r="F9" s="173" t="s">
        <v>621</v>
      </c>
      <c r="G9" s="175" t="str">
        <f>VLOOKUP(F9,'fom-pulldowns'!$C$9:$D$18,2,FALSE)</f>
        <v>4</v>
      </c>
      <c r="H9" s="177" t="s">
        <v>599</v>
      </c>
      <c r="I9" s="178" t="str">
        <f>VLOOKUP(H9,'fom-pulldowns'!$C$22:$D$31,2,FALSE)</f>
        <v>3</v>
      </c>
      <c r="J9" s="180" t="s">
        <v>608</v>
      </c>
    </row>
    <row r="10" spans="1:10" ht="12.75">
      <c r="A10" s="8" t="s">
        <v>667</v>
      </c>
      <c r="B10" s="5"/>
      <c r="C10" s="7"/>
      <c r="D10" s="7"/>
      <c r="E10" s="165" t="str">
        <f t="shared" si="0"/>
        <v>0.75</v>
      </c>
      <c r="F10" s="173" t="s">
        <v>621</v>
      </c>
      <c r="G10" s="175" t="str">
        <f>VLOOKUP(F10,'fom-pulldowns'!$C$9:$D$18,2,FALSE)</f>
        <v>4</v>
      </c>
      <c r="H10" s="177" t="s">
        <v>599</v>
      </c>
      <c r="I10" s="178" t="str">
        <f>VLOOKUP(H10,'fom-pulldowns'!$C$22:$D$31,2,FALSE)</f>
        <v>3</v>
      </c>
      <c r="J10" s="180" t="s">
        <v>670</v>
      </c>
    </row>
    <row r="11" spans="1:10" ht="12.75">
      <c r="A11" s="8" t="s">
        <v>671</v>
      </c>
      <c r="B11" s="5"/>
      <c r="C11" s="7"/>
      <c r="D11" s="7"/>
      <c r="E11" s="165" t="str">
        <f t="shared" si="0"/>
        <v>0.67</v>
      </c>
      <c r="F11" s="173" t="s">
        <v>672</v>
      </c>
      <c r="G11" s="175" t="str">
        <f>VLOOKUP(F11,'fom-pulldowns'!$C$9:$D$18,2,FALSE)</f>
        <v>6</v>
      </c>
      <c r="H11" s="177" t="s">
        <v>664</v>
      </c>
      <c r="I11" s="178" t="str">
        <f>VLOOKUP(H11,'fom-pulldowns'!$C$22:$D$31,2,FALSE)</f>
        <v>4</v>
      </c>
      <c r="J11" s="180" t="s">
        <v>608</v>
      </c>
    </row>
    <row r="12" spans="1:10" ht="12.75">
      <c r="A12" s="8" t="s">
        <v>678</v>
      </c>
      <c r="B12" s="5"/>
      <c r="C12" s="7"/>
      <c r="D12" s="7"/>
      <c r="E12" s="165" t="str">
        <f t="shared" si="0"/>
        <v>0.60</v>
      </c>
      <c r="F12" s="173" t="s">
        <v>681</v>
      </c>
      <c r="G12" s="217">
        <v>5</v>
      </c>
      <c r="H12" s="177" t="s">
        <v>599</v>
      </c>
      <c r="I12" s="219">
        <v>3</v>
      </c>
      <c r="J12" s="180" t="s">
        <v>692</v>
      </c>
    </row>
    <row r="13" spans="1:10" ht="12.75">
      <c r="A13" s="8" t="s">
        <v>697</v>
      </c>
      <c r="B13" s="5"/>
      <c r="C13" s="7"/>
      <c r="D13" s="7"/>
      <c r="E13" s="165" t="str">
        <f t="shared" si="0"/>
        <v>0.60</v>
      </c>
      <c r="F13" s="173" t="s">
        <v>681</v>
      </c>
      <c r="G13" s="217">
        <v>5</v>
      </c>
      <c r="H13" s="177" t="s">
        <v>599</v>
      </c>
      <c r="I13" s="178" t="str">
        <f>VLOOKUP(H13,'fom-pulldowns'!$C$22:$D$31,2,FALSE)</f>
        <v>3</v>
      </c>
      <c r="J13" s="180" t="s">
        <v>618</v>
      </c>
    </row>
    <row r="14" spans="1:10" ht="12.75">
      <c r="A14" s="8" t="s">
        <v>714</v>
      </c>
      <c r="B14" s="5"/>
      <c r="C14" s="7"/>
      <c r="D14" s="7"/>
      <c r="E14" s="165" t="str">
        <f t="shared" si="0"/>
        <v>0.60</v>
      </c>
      <c r="F14" s="173" t="s">
        <v>614</v>
      </c>
      <c r="G14" s="175" t="str">
        <f>VLOOKUP(F14,'fom-pulldowns'!$C$9:$D$18,2,FALSE)</f>
        <v>5</v>
      </c>
      <c r="H14" s="177" t="s">
        <v>599</v>
      </c>
      <c r="I14" s="178" t="str">
        <f>VLOOKUP(H14,'fom-pulldowns'!$C$22:$D$31,2,FALSE)</f>
        <v>3</v>
      </c>
      <c r="J14" s="180" t="s">
        <v>628</v>
      </c>
    </row>
    <row r="15" spans="1:10" ht="12.75">
      <c r="A15" s="8" t="s">
        <v>720</v>
      </c>
      <c r="B15" s="5"/>
      <c r="C15" s="7"/>
      <c r="D15" s="7"/>
      <c r="E15" s="165" t="str">
        <f t="shared" si="0"/>
        <v>0.60</v>
      </c>
      <c r="F15" s="173" t="s">
        <v>614</v>
      </c>
      <c r="G15" s="175" t="str">
        <f>VLOOKUP(F15,'fom-pulldowns'!$C$9:$D$18,2,FALSE)</f>
        <v>5</v>
      </c>
      <c r="H15" s="177" t="s">
        <v>599</v>
      </c>
      <c r="I15" s="178" t="str">
        <f>VLOOKUP(H15,'fom-pulldowns'!$C$22:$D$31,2,FALSE)</f>
        <v>3</v>
      </c>
      <c r="J15" s="180" t="s">
        <v>628</v>
      </c>
    </row>
    <row r="16" spans="1:10" ht="12.75">
      <c r="A16" s="237" t="s">
        <v>726</v>
      </c>
      <c r="B16" s="5"/>
      <c r="C16" s="7"/>
      <c r="D16" s="7"/>
      <c r="E16" s="165" t="str">
        <f t="shared" si="0"/>
        <v>0.60</v>
      </c>
      <c r="F16" s="173" t="s">
        <v>614</v>
      </c>
      <c r="G16" s="183" t="str">
        <f>VLOOKUP(F16,'fom-pulldowns'!$C$9:$D$18,2,FALSE)</f>
        <v>5</v>
      </c>
      <c r="H16" s="177" t="s">
        <v>599</v>
      </c>
      <c r="I16" s="185" t="str">
        <f>VLOOKUP(H16,'fom-pulldowns'!$C$22:$D$31,2,FALSE)</f>
        <v>3</v>
      </c>
      <c r="J16" s="180" t="s">
        <v>738</v>
      </c>
    </row>
    <row r="17" spans="1:10" ht="12.75">
      <c r="A17" s="237" t="s">
        <v>739</v>
      </c>
      <c r="B17" s="5"/>
      <c r="C17" s="7"/>
      <c r="D17" s="7"/>
      <c r="E17" s="165" t="str">
        <f t="shared" si="0"/>
        <v>0.60</v>
      </c>
      <c r="F17" s="173" t="s">
        <v>614</v>
      </c>
      <c r="G17" s="183" t="str">
        <f>VLOOKUP(F17,'fom-pulldowns'!$C$9:$D$18,2,FALSE)</f>
        <v>5</v>
      </c>
      <c r="H17" s="177" t="s">
        <v>599</v>
      </c>
      <c r="I17" s="185" t="str">
        <f>VLOOKUP(H17,'fom-pulldowns'!$C$22:$D$31,2,FALSE)</f>
        <v>3</v>
      </c>
      <c r="J17" s="180" t="s">
        <v>744</v>
      </c>
    </row>
    <row r="18" spans="1:10" ht="12.75">
      <c r="A18" s="8" t="s">
        <v>745</v>
      </c>
      <c r="B18" s="5"/>
      <c r="C18" s="7"/>
      <c r="D18" s="7"/>
      <c r="E18" s="165" t="str">
        <f t="shared" si="0"/>
        <v>0.60</v>
      </c>
      <c r="F18" s="173" t="s">
        <v>614</v>
      </c>
      <c r="G18" s="175" t="str">
        <f>VLOOKUP(F18,'fom-pulldowns'!$C$9:$D$18,2,FALSE)</f>
        <v>5</v>
      </c>
      <c r="H18" s="177" t="s">
        <v>599</v>
      </c>
      <c r="I18" s="178" t="str">
        <f>VLOOKUP(H18,'fom-pulldowns'!$C$22:$D$31,2,FALSE)</f>
        <v>3</v>
      </c>
      <c r="J18" s="180" t="s">
        <v>751</v>
      </c>
    </row>
    <row r="19" spans="1:10" ht="12.75">
      <c r="A19" s="237" t="s">
        <v>752</v>
      </c>
      <c r="B19" s="5"/>
      <c r="C19" s="7"/>
      <c r="D19" s="7"/>
      <c r="E19" s="165" t="str">
        <f t="shared" si="0"/>
        <v>0.57</v>
      </c>
      <c r="F19" s="173" t="s">
        <v>614</v>
      </c>
      <c r="G19" s="254">
        <v>7</v>
      </c>
      <c r="H19" s="177" t="s">
        <v>599</v>
      </c>
      <c r="I19" s="256">
        <v>4</v>
      </c>
      <c r="J19" s="180" t="s">
        <v>628</v>
      </c>
    </row>
    <row r="20" spans="1:10" ht="12.75">
      <c r="A20" s="8" t="s">
        <v>765</v>
      </c>
      <c r="B20" s="5"/>
      <c r="C20" s="7"/>
      <c r="D20" s="7"/>
      <c r="E20" s="165" t="str">
        <f t="shared" si="0"/>
        <v>0.50</v>
      </c>
      <c r="F20" s="173" t="s">
        <v>598</v>
      </c>
      <c r="G20" s="254">
        <v>4</v>
      </c>
      <c r="H20" s="177" t="s">
        <v>652</v>
      </c>
      <c r="I20" s="185" t="str">
        <f>VLOOKUP(H20,'fom-pulldowns'!$C$22:$D$31,2,FALSE)</f>
        <v>2</v>
      </c>
      <c r="J20" s="180" t="s">
        <v>692</v>
      </c>
    </row>
    <row r="21" spans="1:10" ht="12.75">
      <c r="A21" s="8" t="s">
        <v>768</v>
      </c>
      <c r="B21" s="5"/>
      <c r="C21" s="7"/>
      <c r="D21" s="7"/>
      <c r="E21" s="165" t="str">
        <f t="shared" si="0"/>
        <v>0.50</v>
      </c>
      <c r="F21" s="173" t="s">
        <v>598</v>
      </c>
      <c r="G21" s="183" t="str">
        <f>VLOOKUP(F21,'fom-pulldowns'!$C$9:$D$18,2,FALSE)</f>
        <v>2</v>
      </c>
      <c r="H21" s="177" t="s">
        <v>620</v>
      </c>
      <c r="I21" s="185" t="str">
        <f>VLOOKUP(H21,'fom-pulldowns'!$C$22:$D$31,2,FALSE)</f>
        <v>1</v>
      </c>
      <c r="J21" s="180" t="s">
        <v>770</v>
      </c>
    </row>
    <row r="22" spans="1:10" ht="12.75">
      <c r="A22" s="8" t="s">
        <v>771</v>
      </c>
      <c r="B22" s="5"/>
      <c r="C22" s="7"/>
      <c r="D22" s="7"/>
      <c r="E22" s="165" t="str">
        <f t="shared" si="0"/>
        <v>0.40</v>
      </c>
      <c r="F22" s="173" t="s">
        <v>598</v>
      </c>
      <c r="G22" s="254">
        <v>5</v>
      </c>
      <c r="H22" s="177" t="s">
        <v>652</v>
      </c>
      <c r="I22" s="185" t="str">
        <f>VLOOKUP(H22,'fom-pulldowns'!$C$22:$D$31,2,FALSE)</f>
        <v>2</v>
      </c>
      <c r="J22" s="180" t="s">
        <v>692</v>
      </c>
    </row>
    <row r="23" spans="1:10" ht="12.75">
      <c r="A23" s="8" t="s">
        <v>772</v>
      </c>
      <c r="B23" s="5"/>
      <c r="C23" s="7"/>
      <c r="D23" s="7"/>
      <c r="E23" s="165" t="str">
        <f t="shared" si="0"/>
        <v>0.33</v>
      </c>
      <c r="F23" s="173" t="s">
        <v>681</v>
      </c>
      <c r="G23" s="183" t="str">
        <f>VLOOKUP(F23,'fom-pulldowns'!$C$9:$D$18,2,FALSE)</f>
        <v>3</v>
      </c>
      <c r="H23" s="177" t="s">
        <v>620</v>
      </c>
      <c r="I23" s="185" t="str">
        <f>VLOOKUP(H23,'fom-pulldowns'!$C$22:$D$31,2,FALSE)</f>
        <v>1</v>
      </c>
      <c r="J23" s="180" t="s">
        <v>775</v>
      </c>
    </row>
    <row r="24" spans="1:10" ht="12.75">
      <c r="A24" s="8" t="s">
        <v>776</v>
      </c>
      <c r="B24" s="5"/>
      <c r="C24" s="7"/>
      <c r="D24" s="7"/>
      <c r="E24" s="165" t="str">
        <f t="shared" si="0"/>
        <v>0.20</v>
      </c>
      <c r="F24" s="173" t="s">
        <v>598</v>
      </c>
      <c r="G24" s="254">
        <v>5</v>
      </c>
      <c r="H24" s="177" t="s">
        <v>652</v>
      </c>
      <c r="I24" s="256">
        <v>1</v>
      </c>
      <c r="J24" s="180" t="s">
        <v>778</v>
      </c>
    </row>
    <row r="25" spans="1:10" ht="12.75">
      <c r="A25" s="237" t="s">
        <v>779</v>
      </c>
      <c r="B25" s="5"/>
      <c r="C25" s="7"/>
      <c r="D25" s="7"/>
      <c r="E25" s="165" t="str">
        <f t="shared" si="0"/>
        <v>0.20</v>
      </c>
      <c r="F25" s="173" t="s">
        <v>614</v>
      </c>
      <c r="G25" s="183" t="str">
        <f>VLOOKUP(F25,'fom-pulldowns'!$C$9:$D$18,2,FALSE)</f>
        <v>5</v>
      </c>
      <c r="H25" s="177" t="s">
        <v>620</v>
      </c>
      <c r="I25" s="185" t="str">
        <f>VLOOKUP(H25,'fom-pulldowns'!$C$22:$D$31,2,FALSE)</f>
        <v>1</v>
      </c>
      <c r="J25" s="180" t="s">
        <v>628</v>
      </c>
    </row>
    <row r="26" spans="1:10" ht="12.75">
      <c r="A26" s="118" t="s">
        <v>780</v>
      </c>
      <c r="B26" s="97"/>
      <c r="C26" s="271"/>
      <c r="D26" s="271"/>
      <c r="E26" s="273"/>
      <c r="F26" s="274"/>
      <c r="G26" s="276"/>
      <c r="H26" s="278"/>
      <c r="I26" s="279"/>
      <c r="J26" s="280"/>
    </row>
    <row r="27" spans="1:10" ht="12.75">
      <c r="A27" s="118" t="s">
        <v>787</v>
      </c>
      <c r="B27" s="97"/>
      <c r="C27" s="271"/>
      <c r="D27" s="271"/>
      <c r="E27" s="273"/>
      <c r="F27" s="274"/>
      <c r="G27" s="276"/>
      <c r="H27" s="278"/>
      <c r="I27" s="279"/>
      <c r="J27" s="280"/>
    </row>
    <row r="28" spans="1:10" ht="12.75">
      <c r="A28" s="118" t="s">
        <v>788</v>
      </c>
      <c r="B28" s="97"/>
      <c r="C28" s="271"/>
      <c r="D28" s="271"/>
      <c r="E28" s="273"/>
      <c r="F28" s="274"/>
      <c r="G28" s="276"/>
      <c r="H28" s="278"/>
      <c r="I28" s="279"/>
      <c r="J28" s="280"/>
    </row>
    <row r="29" spans="1:10" ht="12.75">
      <c r="A29" s="118" t="s">
        <v>789</v>
      </c>
      <c r="B29" s="97"/>
      <c r="C29" s="271"/>
      <c r="D29" s="271"/>
      <c r="E29" s="273"/>
      <c r="F29" s="274"/>
      <c r="G29" s="276"/>
      <c r="H29" s="278"/>
      <c r="I29" s="279"/>
      <c r="J29" s="280"/>
    </row>
    <row r="30" spans="1:10" ht="12.75">
      <c r="A30" s="118" t="s">
        <v>790</v>
      </c>
      <c r="B30" s="97"/>
      <c r="C30" s="271"/>
      <c r="D30" s="271"/>
      <c r="E30" s="273"/>
      <c r="F30" s="274"/>
      <c r="G30" s="276"/>
      <c r="H30" s="278"/>
      <c r="I30" s="279"/>
      <c r="J30" s="280"/>
    </row>
    <row r="31" spans="1:10" ht="12.75">
      <c r="A31" s="118" t="s">
        <v>791</v>
      </c>
      <c r="B31" s="97"/>
      <c r="C31" s="271"/>
      <c r="D31" s="271"/>
      <c r="E31" s="273"/>
      <c r="F31" s="274"/>
      <c r="G31" s="276"/>
      <c r="H31" s="278"/>
      <c r="I31" s="279"/>
      <c r="J31" s="280"/>
    </row>
    <row r="32" spans="1:10" ht="12.75">
      <c r="A32" s="118" t="s">
        <v>792</v>
      </c>
      <c r="B32" s="97"/>
      <c r="C32" s="271"/>
      <c r="D32" s="271"/>
      <c r="E32" s="273"/>
      <c r="F32" s="274"/>
      <c r="G32" s="276"/>
      <c r="H32" s="278"/>
      <c r="I32" s="279"/>
      <c r="J32" s="280"/>
    </row>
    <row r="33" spans="1:10" ht="12.75">
      <c r="A33" s="118" t="s">
        <v>793</v>
      </c>
      <c r="B33" s="97"/>
      <c r="C33" s="271"/>
      <c r="D33" s="271"/>
      <c r="E33" s="273"/>
      <c r="F33" s="274"/>
      <c r="G33" s="276"/>
      <c r="H33" s="278"/>
      <c r="I33" s="279"/>
      <c r="J33" s="280"/>
    </row>
    <row r="34" spans="1:10" ht="12.75">
      <c r="A34" s="118" t="s">
        <v>794</v>
      </c>
      <c r="B34" s="97"/>
      <c r="C34" s="271"/>
      <c r="D34" s="271"/>
      <c r="E34" s="273"/>
      <c r="F34" s="274"/>
      <c r="G34" s="276"/>
      <c r="H34" s="278"/>
      <c r="I34" s="279"/>
      <c r="J34" s="280"/>
    </row>
    <row r="35" spans="1:10" ht="12.75">
      <c r="A35" s="118" t="s">
        <v>795</v>
      </c>
      <c r="B35" s="97"/>
      <c r="C35" s="271"/>
      <c r="D35" s="271"/>
      <c r="E35" s="273"/>
      <c r="F35" s="274"/>
      <c r="G35" s="276"/>
      <c r="H35" s="278"/>
      <c r="I35" s="279"/>
      <c r="J35" s="280"/>
    </row>
    <row r="36" spans="1:10" ht="12.75">
      <c r="A36" s="118" t="s">
        <v>796</v>
      </c>
      <c r="B36" s="97"/>
      <c r="C36" s="271"/>
      <c r="D36" s="271"/>
      <c r="E36" s="273"/>
      <c r="F36" s="274"/>
      <c r="G36" s="276"/>
      <c r="H36" s="278"/>
      <c r="I36" s="279"/>
      <c r="J36" s="280"/>
    </row>
    <row r="37" spans="1:10" ht="12.75">
      <c r="A37" s="118" t="s">
        <v>797</v>
      </c>
      <c r="B37" s="97"/>
      <c r="C37" s="271"/>
      <c r="D37" s="271"/>
      <c r="E37" s="273"/>
      <c r="F37" s="274"/>
      <c r="G37" s="276"/>
      <c r="H37" s="278"/>
      <c r="I37" s="279"/>
      <c r="J37" s="280"/>
    </row>
    <row r="38" spans="1:10" ht="12.75">
      <c r="A38" s="5"/>
      <c r="B38" s="5"/>
      <c r="C38" s="7"/>
      <c r="D38" s="7"/>
      <c r="E38" s="165"/>
      <c r="F38" s="184"/>
      <c r="G38" s="282"/>
      <c r="H38" s="284"/>
      <c r="I38" s="286"/>
      <c r="J38" s="44"/>
    </row>
    <row r="39" spans="1:10" ht="12.75">
      <c r="A39" s="5"/>
      <c r="B39" s="5"/>
      <c r="C39" s="7"/>
      <c r="D39" s="7"/>
      <c r="E39" s="165"/>
      <c r="F39" s="184"/>
      <c r="G39" s="282"/>
      <c r="H39" s="284"/>
      <c r="I39" s="286"/>
      <c r="J39" s="44"/>
    </row>
    <row r="40" spans="1:10" ht="12.75">
      <c r="A40" s="5"/>
      <c r="B40" s="5"/>
      <c r="C40" s="7"/>
      <c r="D40" s="7"/>
      <c r="E40" s="165"/>
      <c r="F40" s="184"/>
      <c r="G40" s="282"/>
      <c r="H40" s="284"/>
      <c r="I40" s="286"/>
      <c r="J40" s="44"/>
    </row>
    <row r="41" spans="1:10" ht="12.75">
      <c r="A41" s="5"/>
      <c r="B41" s="5"/>
      <c r="C41" s="7"/>
      <c r="D41" s="7"/>
      <c r="E41" s="165"/>
      <c r="F41" s="184"/>
      <c r="G41" s="282"/>
      <c r="H41" s="284"/>
      <c r="I41" s="286"/>
      <c r="J41" s="44"/>
    </row>
    <row r="42" spans="1:10" ht="12.75">
      <c r="A42" s="5"/>
      <c r="B42" s="5"/>
      <c r="C42" s="7"/>
      <c r="D42" s="7"/>
      <c r="E42" s="165"/>
      <c r="F42" s="184"/>
      <c r="G42" s="282"/>
      <c r="H42" s="284"/>
      <c r="I42" s="286"/>
      <c r="J42" s="44"/>
    </row>
    <row r="43" spans="1:10" ht="12.75">
      <c r="A43" s="5"/>
      <c r="B43" s="5"/>
      <c r="C43" s="7"/>
      <c r="D43" s="7"/>
      <c r="E43" s="165"/>
      <c r="F43" s="184"/>
      <c r="G43" s="282"/>
      <c r="H43" s="284"/>
      <c r="I43" s="286"/>
      <c r="J43" s="44"/>
    </row>
    <row r="44" spans="1:10" ht="12.75">
      <c r="A44" s="5"/>
      <c r="B44" s="5"/>
      <c r="C44" s="7"/>
      <c r="D44" s="7"/>
      <c r="E44" s="165"/>
      <c r="F44" s="184"/>
      <c r="G44" s="282"/>
      <c r="H44" s="284"/>
      <c r="I44" s="286"/>
      <c r="J44" s="44"/>
    </row>
    <row r="45" spans="1:10" ht="12.75">
      <c r="A45" s="5"/>
      <c r="B45" s="5"/>
      <c r="C45" s="7"/>
      <c r="D45" s="7"/>
      <c r="E45" s="165"/>
      <c r="F45" s="184"/>
      <c r="G45" s="282"/>
      <c r="H45" s="284"/>
      <c r="I45" s="286"/>
      <c r="J45" s="44"/>
    </row>
    <row r="46" spans="1:10" ht="12.75">
      <c r="A46" s="5"/>
      <c r="B46" s="5"/>
      <c r="C46" s="7"/>
      <c r="D46" s="7"/>
      <c r="E46" s="165"/>
      <c r="F46" s="184"/>
      <c r="G46" s="282"/>
      <c r="H46" s="284"/>
      <c r="I46" s="286"/>
      <c r="J46" s="44"/>
    </row>
    <row r="47" spans="1:10" ht="12.75">
      <c r="A47" s="5"/>
      <c r="B47" s="5"/>
      <c r="C47" s="7"/>
      <c r="D47" s="7"/>
      <c r="E47" s="165"/>
      <c r="F47" s="184"/>
      <c r="G47" s="282"/>
      <c r="H47" s="284"/>
      <c r="I47" s="286"/>
      <c r="J47" s="44"/>
    </row>
    <row r="48" spans="1:10" ht="12.75">
      <c r="A48" s="5"/>
      <c r="B48" s="5"/>
      <c r="C48" s="7"/>
      <c r="D48" s="7"/>
      <c r="E48" s="165"/>
      <c r="F48" s="184"/>
      <c r="G48" s="282"/>
      <c r="H48" s="284"/>
      <c r="I48" s="286"/>
      <c r="J48" s="44"/>
    </row>
    <row r="49" spans="1:10" ht="12.75">
      <c r="A49" s="5"/>
      <c r="B49" s="5"/>
      <c r="C49" s="7"/>
      <c r="D49" s="7"/>
      <c r="E49" s="165"/>
      <c r="F49" s="184"/>
      <c r="G49" s="282"/>
      <c r="H49" s="284"/>
      <c r="I49" s="286"/>
      <c r="J49" s="44"/>
    </row>
    <row r="50" spans="1:10" ht="12.75">
      <c r="A50" s="5"/>
      <c r="B50" s="5"/>
      <c r="C50" s="7"/>
      <c r="D50" s="7"/>
      <c r="E50" s="165"/>
      <c r="F50" s="184"/>
      <c r="G50" s="282"/>
      <c r="H50" s="284"/>
      <c r="I50" s="286"/>
      <c r="J50" s="44"/>
    </row>
    <row r="51" spans="1:10" ht="12.75">
      <c r="A51" s="5"/>
      <c r="B51" s="5"/>
      <c r="C51" s="7"/>
      <c r="D51" s="7"/>
      <c r="E51" s="165"/>
      <c r="F51" s="184"/>
      <c r="G51" s="282"/>
      <c r="H51" s="284"/>
      <c r="I51" s="286"/>
      <c r="J51" s="44"/>
    </row>
    <row r="52" spans="1:10" ht="12.75">
      <c r="A52" s="5"/>
      <c r="B52" s="5"/>
      <c r="C52" s="7"/>
      <c r="D52" s="7"/>
      <c r="E52" s="165"/>
      <c r="F52" s="184"/>
      <c r="G52" s="282"/>
      <c r="H52" s="284"/>
      <c r="I52" s="286"/>
      <c r="J52" s="44"/>
    </row>
    <row r="53" spans="1:10" ht="12.75">
      <c r="A53" s="5"/>
      <c r="B53" s="5"/>
      <c r="C53" s="7"/>
      <c r="D53" s="7"/>
      <c r="E53" s="165"/>
      <c r="F53" s="184"/>
      <c r="G53" s="282"/>
      <c r="H53" s="284"/>
      <c r="I53" s="286"/>
      <c r="J53" s="44"/>
    </row>
    <row r="54" spans="1:10" ht="12.75">
      <c r="A54" s="5"/>
      <c r="B54" s="5"/>
      <c r="C54" s="7"/>
      <c r="D54" s="7"/>
      <c r="E54" s="165"/>
      <c r="F54" s="184"/>
      <c r="G54" s="282"/>
      <c r="H54" s="284"/>
      <c r="I54" s="286"/>
      <c r="J54" s="44"/>
    </row>
  </sheetData>
  <autoFilter ref="$A$2:$J$37"/>
  <dataValidations count="2">
    <dataValidation type="list" allowBlank="1" showErrorMessage="1" sqref="F3:F25">
      <formula1>'fom-pulldowns'!$C$9:$C$18</formula1>
    </dataValidation>
    <dataValidation type="list" allowBlank="1" showErrorMessage="1" sqref="H3:H25">
      <formula1>'fom-pulldowns'!$C$22:$C$31</formula1>
    </dataValidation>
  </dataValidation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V33"/>
  <sheetViews>
    <sheetView workbookViewId="0" topLeftCell="A1"/>
  </sheetViews>
  <sheetFormatPr defaultColWidth="14.421875" defaultRowHeight="12.75" customHeight="1"/>
  <cols>
    <col min="1" max="2" width="17.28125" style="0" customWidth="1"/>
    <col min="3" max="3" width="12.421875" style="0" customWidth="1"/>
    <col min="4" max="4" width="8.140625" style="0" customWidth="1"/>
    <col min="5" max="5" width="5.8515625" style="0" customWidth="1"/>
    <col min="6" max="6" width="5.00390625" style="0" customWidth="1"/>
    <col min="7" max="7" width="3.7109375" style="0" customWidth="1"/>
    <col min="8" max="13" width="3.140625" style="0" customWidth="1"/>
    <col min="14" max="20" width="3.421875" style="0" customWidth="1"/>
    <col min="21" max="21" width="8.421875" style="0" customWidth="1"/>
    <col min="22" max="22" width="9.57421875" style="0" customWidth="1"/>
  </cols>
  <sheetData>
    <row r="1" spans="1:22" ht="12.75">
      <c r="A1" s="6" t="s">
        <v>15</v>
      </c>
      <c r="B1" s="42"/>
      <c r="C1" s="44"/>
      <c r="D1" s="75" t="s">
        <v>233</v>
      </c>
      <c r="E1" s="76">
        <v>0</v>
      </c>
      <c r="F1" s="34" t="s">
        <v>238</v>
      </c>
      <c r="G1" s="77" t="s">
        <v>239</v>
      </c>
      <c r="H1" s="79"/>
      <c r="I1" s="80"/>
      <c r="J1" s="80"/>
      <c r="K1" s="80"/>
      <c r="L1" s="80"/>
      <c r="M1" s="80"/>
      <c r="N1" s="80"/>
      <c r="O1" s="80"/>
      <c r="P1" s="80"/>
      <c r="Q1" s="80"/>
      <c r="R1" s="80"/>
      <c r="S1" s="80"/>
      <c r="T1" s="80"/>
      <c r="U1" s="80"/>
      <c r="V1" s="80"/>
    </row>
    <row r="2" spans="1:22" ht="12.75">
      <c r="A2" s="81" t="s">
        <v>240</v>
      </c>
      <c r="B2" s="98" t="str">
        <f>VLOOKUP(A1,priortization!A:G,7,FALSE)</f>
        <v>9</v>
      </c>
      <c r="C2" s="85" t="e">
        <f>VLOOKUP(B2,#REF!,3)&amp;" size + Dur:"</f>
        <v>#REF!</v>
      </c>
      <c r="D2" s="114" t="e">
        <f>VLOOKUP(B2,#REF!,4)</f>
        <v>#REF!</v>
      </c>
      <c r="E2" s="116" t="s">
        <v>353</v>
      </c>
      <c r="F2" s="42"/>
      <c r="G2" s="42"/>
      <c r="H2" s="42"/>
      <c r="I2" s="42"/>
      <c r="J2" s="42"/>
      <c r="K2" s="42"/>
      <c r="L2" s="42"/>
      <c r="M2" s="42"/>
      <c r="N2" s="42"/>
      <c r="O2" s="42"/>
      <c r="P2" s="42"/>
      <c r="Q2" s="42"/>
      <c r="R2" s="42"/>
      <c r="S2" s="42"/>
      <c r="T2" s="42"/>
      <c r="U2" s="156"/>
      <c r="V2" s="158"/>
    </row>
    <row r="3" spans="1:22" ht="12.75">
      <c r="A3" s="81" t="s">
        <v>10</v>
      </c>
      <c r="B3" s="81" t="s">
        <v>4</v>
      </c>
      <c r="C3" s="166" t="s">
        <v>555</v>
      </c>
      <c r="D3" s="166" t="s">
        <v>576</v>
      </c>
      <c r="E3" s="81">
        <v>1</v>
      </c>
      <c r="F3" s="168" t="str">
        <f aca="true" t="shared" si="0" ref="F3:T3">E3+1</f>
        <v>2</v>
      </c>
      <c r="G3" s="168" t="str">
        <f t="shared" si="0"/>
        <v>3</v>
      </c>
      <c r="H3" s="168" t="str">
        <f t="shared" si="0"/>
        <v>4</v>
      </c>
      <c r="I3" s="168" t="str">
        <f t="shared" si="0"/>
        <v>5</v>
      </c>
      <c r="J3" s="168" t="str">
        <f t="shared" si="0"/>
        <v>6</v>
      </c>
      <c r="K3" s="168" t="str">
        <f t="shared" si="0"/>
        <v>7</v>
      </c>
      <c r="L3" s="168" t="str">
        <f t="shared" si="0"/>
        <v>8</v>
      </c>
      <c r="M3" s="168" t="str">
        <f t="shared" si="0"/>
        <v>9</v>
      </c>
      <c r="N3" s="168" t="str">
        <f t="shared" si="0"/>
        <v>10</v>
      </c>
      <c r="O3" s="168" t="str">
        <f t="shared" si="0"/>
        <v>11</v>
      </c>
      <c r="P3" s="168" t="str">
        <f t="shared" si="0"/>
        <v>12</v>
      </c>
      <c r="Q3" s="168" t="str">
        <f t="shared" si="0"/>
        <v>13</v>
      </c>
      <c r="R3" s="168" t="str">
        <f t="shared" si="0"/>
        <v>14</v>
      </c>
      <c r="S3" s="168" t="str">
        <f t="shared" si="0"/>
        <v>15</v>
      </c>
      <c r="T3" s="168" t="str">
        <f t="shared" si="0"/>
        <v>16</v>
      </c>
      <c r="U3" s="166" t="s">
        <v>580</v>
      </c>
      <c r="V3" s="166" t="s">
        <v>581</v>
      </c>
    </row>
    <row r="4" spans="1:22" ht="12.75">
      <c r="A4" s="123" t="s">
        <v>155</v>
      </c>
      <c r="B4" s="123" t="s">
        <v>578</v>
      </c>
      <c r="C4" s="169" t="s">
        <v>579</v>
      </c>
      <c r="D4" s="170">
        <v>0.25</v>
      </c>
      <c r="E4" s="174" t="e">
        <f>IF($G1="Y",0,IF(($E1&lt;E3),VLOOKUP($D2&amp;$C4,#REF!,E3-$E1+1,FALSE)*'resource-variables'!$C$2*$D4,0))</f>
        <v>#REF!</v>
      </c>
      <c r="F4" s="174" t="e">
        <f>IF($G1="Y",0,IF(($E1&lt;F3),VLOOKUP($D2&amp;$C4,#REF!,F3-$E1+1,FALSE)*'resource-variables'!$C$2*$D4,0))</f>
        <v>#REF!</v>
      </c>
      <c r="G4" s="174" t="e">
        <f>IF($G1="Y",0,IF(($E1&lt;G3),VLOOKUP($D2&amp;$C4,#REF!,G3-$E1+1,FALSE)*'resource-variables'!$C$2*$D4,0))</f>
        <v>#REF!</v>
      </c>
      <c r="H4" s="174" t="e">
        <f>IF($G1="Y",0,IF(($E1&lt;H3),VLOOKUP($D2&amp;$C4,#REF!,H3-$E1+1,FALSE)*'resource-variables'!$C$2*$D4,0))</f>
        <v>#REF!</v>
      </c>
      <c r="I4" s="174" t="e">
        <f>IF($G1="Y",0,IF(($E1&lt;I3),VLOOKUP($D2&amp;$C4,#REF!,I3-$E1+1,FALSE)*'resource-variables'!$C$2*$D4,0))</f>
        <v>#REF!</v>
      </c>
      <c r="J4" s="174" t="e">
        <f>IF($G1="Y",0,IF(($E1&lt;J3),VLOOKUP($D2&amp;$C4,#REF!,J3-$E1+1,FALSE)*'resource-variables'!$C$2*$D4,0))</f>
        <v>#REF!</v>
      </c>
      <c r="K4" s="174" t="e">
        <f>IF($G1="Y",0,IF(($E1&lt;K3),VLOOKUP($D2&amp;$C4,#REF!,K3-$E1+1,FALSE)*'resource-variables'!$C$2*$D4,0))</f>
        <v>#REF!</v>
      </c>
      <c r="L4" s="174" t="e">
        <f>IF($G1="Y",0,IF(($E1&lt;L3),VLOOKUP($D2&amp;$C4,#REF!,L3-$E1+1,FALSE)*'resource-variables'!$C$2*$D4,0))</f>
        <v>#REF!</v>
      </c>
      <c r="M4" s="174" t="e">
        <f>IF($G1="Y",0,IF(($E1&lt;M3),VLOOKUP($D2&amp;$C4,#REF!,M3-$E1+1,FALSE)*'resource-variables'!$C$2*$D4,0))</f>
        <v>#REF!</v>
      </c>
      <c r="N4" s="174" t="e">
        <f>IF($G1="Y",0,IF(($E1&lt;N3),VLOOKUP($D2&amp;$C4,#REF!,N3-$E1+1,FALSE)*'resource-variables'!$C$2*$D4,0))</f>
        <v>#REF!</v>
      </c>
      <c r="O4" s="174" t="e">
        <f>IF($G1="Y",0,IF(($E1&lt;O3),VLOOKUP($D2&amp;$C4,#REF!,O3-$E1+1,FALSE)*'resource-variables'!$C$2*$D4,0))</f>
        <v>#REF!</v>
      </c>
      <c r="P4" s="174" t="e">
        <f>IF($G1="Y",0,IF(($E1&lt;P3),VLOOKUP($D2&amp;$C4,#REF!,P3-$E1+1,FALSE)*'resource-variables'!$C$2*$D4,0))</f>
        <v>#REF!</v>
      </c>
      <c r="Q4" s="174" t="e">
        <f>IF($G1="Y",0,IF(($E1&lt;Q3),VLOOKUP($D2&amp;$C4,#REF!,Q3-$E1+1,FALSE)*'resource-variables'!$C$2*$D4,0))</f>
        <v>#REF!</v>
      </c>
      <c r="R4" s="174" t="e">
        <f>IF($G1="Y",0,IF(($E1&lt;R3),VLOOKUP($D2&amp;$C4,#REF!,R3-$E1+1,FALSE)*'resource-variables'!$C$2*$D4,0))</f>
        <v>#REF!</v>
      </c>
      <c r="S4" s="174" t="e">
        <f>IF($G1="Y",0,IF(($E1&lt;S3),VLOOKUP($D2&amp;$C4,#REF!,S3-$E1+1,FALSE)*'resource-variables'!$C$2*$D4,0))</f>
        <v>#REF!</v>
      </c>
      <c r="T4" s="174" t="e">
        <f>IF($G1="Y",0,IF(($E1&lt;T3),VLOOKUP($D2&amp;$C4,#REF!,T3-$E1+1,FALSE)*'resource-variables'!$C$2*$D4,0))</f>
        <v>#REF!</v>
      </c>
      <c r="U4" s="188" t="e">
        <f aca="true" t="shared" si="1" ref="U4:U10">SUM(E4:T4)</f>
        <v>#REF!</v>
      </c>
      <c r="V4" s="200" t="e">
        <f aca="true" t="shared" si="2" ref="V4:V10">U4*#REF!</f>
        <v>#REF!</v>
      </c>
    </row>
    <row r="5" spans="1:22" ht="12.75">
      <c r="A5" s="123" t="s">
        <v>582</v>
      </c>
      <c r="B5" s="123" t="s">
        <v>583</v>
      </c>
      <c r="C5" s="169" t="s">
        <v>584</v>
      </c>
      <c r="D5" s="170">
        <v>1</v>
      </c>
      <c r="E5" s="174" t="e">
        <f>IF($G1="Y",0,IF(($E1&lt;E3),VLOOKUP($D2&amp;$C5,#REF!,E3-$E1+1,FALSE)*'resource-variables'!$C$2*$D5,0))</f>
        <v>#REF!</v>
      </c>
      <c r="F5" s="174" t="e">
        <f>IF($G1="Y",0,IF(($E1&lt;F3),VLOOKUP($D2&amp;$C5,#REF!,F3-$E1+1,FALSE)*'resource-variables'!$C$2*$D5,0))</f>
        <v>#REF!</v>
      </c>
      <c r="G5" s="174" t="e">
        <f>IF($G1="Y",0,IF(($E1&lt;G3),VLOOKUP($D2&amp;$C5,#REF!,G3-$E1+1,FALSE)*'resource-variables'!$C$2*$D5,0))</f>
        <v>#REF!</v>
      </c>
      <c r="H5" s="174" t="e">
        <f>IF($G1="Y",0,IF(($E1&lt;H3),VLOOKUP($D2&amp;$C5,#REF!,H3-$E1+1,FALSE)*'resource-variables'!$C$2*$D5,0))</f>
        <v>#REF!</v>
      </c>
      <c r="I5" s="174" t="e">
        <f>IF($G1="Y",0,IF(($E1&lt;I3),VLOOKUP($D2&amp;$C5,#REF!,I3-$E1+1,FALSE)*'resource-variables'!$C$2*$D5,0))</f>
        <v>#REF!</v>
      </c>
      <c r="J5" s="174" t="e">
        <f>IF($G1="Y",0,IF(($E1&lt;J3),VLOOKUP($D2&amp;$C5,#REF!,J3-$E1+1,FALSE)*'resource-variables'!$C$2*$D5,0))</f>
        <v>#REF!</v>
      </c>
      <c r="K5" s="174" t="e">
        <f>IF($G1="Y",0,IF(($E1&lt;K3),VLOOKUP($D2&amp;$C5,#REF!,K3-$E1+1,FALSE)*'resource-variables'!$C$2*$D5,0))</f>
        <v>#REF!</v>
      </c>
      <c r="L5" s="174" t="e">
        <f>IF($G1="Y",0,IF(($E1&lt;L3),VLOOKUP($D2&amp;$C5,#REF!,L3-$E1+1,FALSE)*'resource-variables'!$C$2*$D5,0))</f>
        <v>#REF!</v>
      </c>
      <c r="M5" s="174" t="e">
        <f>IF($G1="Y",0,IF(($E1&lt;M3),VLOOKUP($D2&amp;$C5,#REF!,M3-$E1+1,FALSE)*'resource-variables'!$C$2*$D5,0))</f>
        <v>#REF!</v>
      </c>
      <c r="N5" s="174" t="e">
        <f>IF($G1="Y",0,IF(($E1&lt;N3),VLOOKUP($D2&amp;$C5,#REF!,N3-$E1+1,FALSE)*'resource-variables'!$C$2*$D5,0))</f>
        <v>#REF!</v>
      </c>
      <c r="O5" s="174" t="e">
        <f>IF($G1="Y",0,IF(($E1&lt;O3),VLOOKUP($D2&amp;$C5,#REF!,O3-$E1+1,FALSE)*'resource-variables'!$C$2*$D5,0))</f>
        <v>#REF!</v>
      </c>
      <c r="P5" s="174" t="e">
        <f>IF($G1="Y",0,IF(($E1&lt;P3),VLOOKUP($D2&amp;$C5,#REF!,P3-$E1+1,FALSE)*'resource-variables'!$C$2*$D5,0))</f>
        <v>#REF!</v>
      </c>
      <c r="Q5" s="174" t="e">
        <f>IF($G1="Y",0,IF(($E1&lt;Q3),VLOOKUP($D2&amp;$C5,#REF!,Q3-$E1+1,FALSE)*'resource-variables'!$C$2*$D5,0))</f>
        <v>#REF!</v>
      </c>
      <c r="R5" s="174" t="e">
        <f>IF($G1="Y",0,IF(($E1&lt;R3),VLOOKUP($D2&amp;$C5,#REF!,R3-$E1+1,FALSE)*'resource-variables'!$C$2*$D5,0))</f>
        <v>#REF!</v>
      </c>
      <c r="S5" s="174" t="e">
        <f>IF($G1="Y",0,IF(($E1&lt;S3),VLOOKUP($D2&amp;$C5,#REF!,S3-$E1+1,FALSE)*'resource-variables'!$C$2*$D5,0))</f>
        <v>#REF!</v>
      </c>
      <c r="T5" s="174" t="e">
        <f>IF($G1="Y",0,IF(($E1&lt;T3),VLOOKUP($D2&amp;$C5,#REF!,T3-$E1+1,FALSE)*'resource-variables'!$C$2*$D5,0))</f>
        <v>#REF!</v>
      </c>
      <c r="U5" s="188" t="e">
        <f t="shared" si="1"/>
        <v>#REF!</v>
      </c>
      <c r="V5" s="200" t="e">
        <f t="shared" si="2"/>
        <v>#REF!</v>
      </c>
    </row>
    <row r="6" spans="1:22" ht="12.75">
      <c r="A6" s="123" t="s">
        <v>585</v>
      </c>
      <c r="B6" s="123" t="s">
        <v>586</v>
      </c>
      <c r="C6" s="169" t="s">
        <v>584</v>
      </c>
      <c r="D6" s="170">
        <v>0.1</v>
      </c>
      <c r="E6" s="174" t="e">
        <f>IF($G1="Y",0,IF(($E1&lt;E3),VLOOKUP($D2&amp;$C6,#REF!,E3-$E1+1,FALSE)*'resource-variables'!$C$2*$D6,0))</f>
        <v>#REF!</v>
      </c>
      <c r="F6" s="174" t="e">
        <f>IF($G1="Y",0,IF(($E1&lt;F3),VLOOKUP($D2&amp;$C6,#REF!,F3-$E1+1,FALSE)*'resource-variables'!$C$2*$D6,0))</f>
        <v>#REF!</v>
      </c>
      <c r="G6" s="174" t="e">
        <f>IF($G1="Y",0,IF(($E1&lt;G3),VLOOKUP($D2&amp;$C6,#REF!,G3-$E1+1,FALSE)*'resource-variables'!$C$2*$D6,0))</f>
        <v>#REF!</v>
      </c>
      <c r="H6" s="174" t="e">
        <f>IF($G1="Y",0,IF(($E1&lt;H3),VLOOKUP($D2&amp;$C6,#REF!,H3-$E1+1,FALSE)*'resource-variables'!$C$2*$D6,0))</f>
        <v>#REF!</v>
      </c>
      <c r="I6" s="174" t="e">
        <f>IF($G1="Y",0,IF(($E1&lt;I3),VLOOKUP($D2&amp;$C6,#REF!,I3-$E1+1,FALSE)*'resource-variables'!$C$2*$D6,0))</f>
        <v>#REF!</v>
      </c>
      <c r="J6" s="174" t="e">
        <f>IF($G1="Y",0,IF(($E1&lt;J3),VLOOKUP($D2&amp;$C6,#REF!,J3-$E1+1,FALSE)*'resource-variables'!$C$2*$D6,0))</f>
        <v>#REF!</v>
      </c>
      <c r="K6" s="174" t="e">
        <f>IF($G1="Y",0,IF(($E1&lt;K3),VLOOKUP($D2&amp;$C6,#REF!,K3-$E1+1,FALSE)*'resource-variables'!$C$2*$D6,0))</f>
        <v>#REF!</v>
      </c>
      <c r="L6" s="174" t="e">
        <f>IF($G1="Y",0,IF(($E1&lt;L3),VLOOKUP($D2&amp;$C6,#REF!,L3-$E1+1,FALSE)*'resource-variables'!$C$2*$D6,0))</f>
        <v>#REF!</v>
      </c>
      <c r="M6" s="174" t="e">
        <f>IF($G1="Y",0,IF(($E1&lt;M3),VLOOKUP($D2&amp;$C6,#REF!,M3-$E1+1,FALSE)*'resource-variables'!$C$2*$D6,0))</f>
        <v>#REF!</v>
      </c>
      <c r="N6" s="174" t="e">
        <f>IF($G1="Y",0,IF(($E1&lt;N3),VLOOKUP($D2&amp;$C6,#REF!,N3-$E1+1,FALSE)*'resource-variables'!$C$2*$D6,0))</f>
        <v>#REF!</v>
      </c>
      <c r="O6" s="174" t="e">
        <f>IF($G1="Y",0,IF(($E1&lt;O3),VLOOKUP($D2&amp;$C6,#REF!,O3-$E1+1,FALSE)*'resource-variables'!$C$2*$D6,0))</f>
        <v>#REF!</v>
      </c>
      <c r="P6" s="174" t="e">
        <f>IF($G1="Y",0,IF(($E1&lt;P3),VLOOKUP($D2&amp;$C6,#REF!,P3-$E1+1,FALSE)*'resource-variables'!$C$2*$D6,0))</f>
        <v>#REF!</v>
      </c>
      <c r="Q6" s="174" t="e">
        <f>IF($G1="Y",0,IF(($E1&lt;Q3),VLOOKUP($D2&amp;$C6,#REF!,Q3-$E1+1,FALSE)*'resource-variables'!$C$2*$D6,0))</f>
        <v>#REF!</v>
      </c>
      <c r="R6" s="174" t="e">
        <f>IF($G1="Y",0,IF(($E1&lt;R3),VLOOKUP($D2&amp;$C6,#REF!,R3-$E1+1,FALSE)*'resource-variables'!$C$2*$D6,0))</f>
        <v>#REF!</v>
      </c>
      <c r="S6" s="174" t="e">
        <f>IF($G1="Y",0,IF(($E1&lt;S3),VLOOKUP($D2&amp;$C6,#REF!,S3-$E1+1,FALSE)*'resource-variables'!$C$2*$D6,0))</f>
        <v>#REF!</v>
      </c>
      <c r="T6" s="174" t="e">
        <f>IF($G1="Y",0,IF(($E1&lt;T3),VLOOKUP($D2&amp;$C6,#REF!,T3-$E1+1,FALSE)*'resource-variables'!$C$2*$D6,0))</f>
        <v>#REF!</v>
      </c>
      <c r="U6" s="188" t="e">
        <f t="shared" si="1"/>
        <v>#REF!</v>
      </c>
      <c r="V6" s="200" t="e">
        <f t="shared" si="2"/>
        <v>#REF!</v>
      </c>
    </row>
    <row r="7" spans="1:22" ht="12.75">
      <c r="A7" s="123" t="s">
        <v>588</v>
      </c>
      <c r="B7" s="123" t="s">
        <v>589</v>
      </c>
      <c r="C7" s="169" t="s">
        <v>590</v>
      </c>
      <c r="D7" s="170">
        <v>0.05</v>
      </c>
      <c r="E7" s="174" t="e">
        <f>IF($G1="Y",0,IF(($E1&lt;E3),VLOOKUP($D2&amp;$C7,#REF!,E3-$E1+1,FALSE)*'resource-variables'!$C$2*$D7,0))</f>
        <v>#REF!</v>
      </c>
      <c r="F7" s="174" t="e">
        <f>IF($G1="Y",0,IF(($E1&lt;F3),VLOOKUP($D2&amp;$C7,#REF!,F3-$E1+1,FALSE)*'resource-variables'!$C$2*$D7,0))</f>
        <v>#REF!</v>
      </c>
      <c r="G7" s="174" t="e">
        <f>IF($G1="Y",0,IF(($E1&lt;G3),VLOOKUP($D2&amp;$C7,#REF!,G3-$E1+1,FALSE)*'resource-variables'!$C$2*$D7,0))</f>
        <v>#REF!</v>
      </c>
      <c r="H7" s="174" t="e">
        <f>IF($G1="Y",0,IF(($E1&lt;H3),VLOOKUP($D2&amp;$C7,#REF!,H3-$E1+1,FALSE)*'resource-variables'!$C$2*$D7,0))</f>
        <v>#REF!</v>
      </c>
      <c r="I7" s="174" t="e">
        <f>IF($G1="Y",0,IF(($E1&lt;I3),VLOOKUP($D2&amp;$C7,#REF!,I3-$E1+1,FALSE)*'resource-variables'!$C$2*$D7,0))</f>
        <v>#REF!</v>
      </c>
      <c r="J7" s="174" t="e">
        <f>IF($G1="Y",0,IF(($E1&lt;J3),VLOOKUP($D2&amp;$C7,#REF!,J3-$E1+1,FALSE)*'resource-variables'!$C$2*$D7,0))</f>
        <v>#REF!</v>
      </c>
      <c r="K7" s="174" t="e">
        <f>IF($G1="Y",0,IF(($E1&lt;K3),VLOOKUP($D2&amp;$C7,#REF!,K3-$E1+1,FALSE)*'resource-variables'!$C$2*$D7,0))</f>
        <v>#REF!</v>
      </c>
      <c r="L7" s="174" t="e">
        <f>IF($G1="Y",0,IF(($E1&lt;L3),VLOOKUP($D2&amp;$C7,#REF!,L3-$E1+1,FALSE)*'resource-variables'!$C$2*$D7,0))</f>
        <v>#REF!</v>
      </c>
      <c r="M7" s="174" t="e">
        <f>IF($G1="Y",0,IF(($E1&lt;M3),VLOOKUP($D2&amp;$C7,#REF!,M3-$E1+1,FALSE)*'resource-variables'!$C$2*$D7,0))</f>
        <v>#REF!</v>
      </c>
      <c r="N7" s="174" t="e">
        <f>IF($G1="Y",0,IF(($E1&lt;N3),VLOOKUP($D2&amp;$C7,#REF!,N3-$E1+1,FALSE)*'resource-variables'!$C$2*$D7,0))</f>
        <v>#REF!</v>
      </c>
      <c r="O7" s="174" t="e">
        <f>IF($G1="Y",0,IF(($E1&lt;O3),VLOOKUP($D2&amp;$C7,#REF!,O3-$E1+1,FALSE)*'resource-variables'!$C$2*$D7,0))</f>
        <v>#REF!</v>
      </c>
      <c r="P7" s="174" t="e">
        <f>IF($G1="Y",0,IF(($E1&lt;P3),VLOOKUP($D2&amp;$C7,#REF!,P3-$E1+1,FALSE)*'resource-variables'!$C$2*$D7,0))</f>
        <v>#REF!</v>
      </c>
      <c r="Q7" s="174" t="e">
        <f>IF($G1="Y",0,IF(($E1&lt;Q3),VLOOKUP($D2&amp;$C7,#REF!,Q3-$E1+1,FALSE)*'resource-variables'!$C$2*$D7,0))</f>
        <v>#REF!</v>
      </c>
      <c r="R7" s="174" t="e">
        <f>IF($G1="Y",0,IF(($E1&lt;R3),VLOOKUP($D2&amp;$C7,#REF!,R3-$E1+1,FALSE)*'resource-variables'!$C$2*$D7,0))</f>
        <v>#REF!</v>
      </c>
      <c r="S7" s="174" t="e">
        <f>IF($G1="Y",0,IF(($E1&lt;S3),VLOOKUP($D2&amp;$C7,#REF!,S3-$E1+1,FALSE)*'resource-variables'!$C$2*$D7,0))</f>
        <v>#REF!</v>
      </c>
      <c r="T7" s="174" t="e">
        <f>IF($G1="Y",0,IF(($E1&lt;T3),VLOOKUP($D2&amp;$C7,#REF!,T3-$E1+1,FALSE)*'resource-variables'!$C$2*$D7,0))</f>
        <v>#REF!</v>
      </c>
      <c r="U7" s="188" t="e">
        <f t="shared" si="1"/>
        <v>#REF!</v>
      </c>
      <c r="V7" s="200" t="e">
        <f t="shared" si="2"/>
        <v>#REF!</v>
      </c>
    </row>
    <row r="8" spans="1:22" ht="12.75">
      <c r="A8" s="123" t="s">
        <v>256</v>
      </c>
      <c r="B8" s="123" t="s">
        <v>591</v>
      </c>
      <c r="C8" s="169" t="s">
        <v>592</v>
      </c>
      <c r="D8" s="170">
        <v>0.53</v>
      </c>
      <c r="E8" s="174" t="e">
        <f>IF($G1="Y",0,IF(($E1&lt;E3),VLOOKUP($D2&amp;$C8,#REF!,E3-$E1+1,FALSE)*'resource-variables'!$C$2*$D8,0))</f>
        <v>#REF!</v>
      </c>
      <c r="F8" s="174" t="e">
        <f>IF($G1="Y",0,IF(($E1&lt;F3),VLOOKUP($D2&amp;$C8,#REF!,F3-$E1+1,FALSE)*'resource-variables'!$C$2*$D8,0))</f>
        <v>#REF!</v>
      </c>
      <c r="G8" s="174" t="e">
        <f>IF($G1="Y",0,IF(($E1&lt;G3),VLOOKUP($D2&amp;$C8,#REF!,G3-$E1+1,FALSE)*'resource-variables'!$C$2*$D8,0))</f>
        <v>#REF!</v>
      </c>
      <c r="H8" s="174" t="e">
        <f>IF($G1="Y",0,IF(($E1&lt;H3),VLOOKUP($D2&amp;$C8,#REF!,H3-$E1+1,FALSE)*'resource-variables'!$C$2*$D8,0))</f>
        <v>#REF!</v>
      </c>
      <c r="I8" s="174" t="e">
        <f>IF($G1="Y",0,IF(($E1&lt;I3),VLOOKUP($D2&amp;$C8,#REF!,I3-$E1+1,FALSE)*'resource-variables'!$C$2*$D8,0))</f>
        <v>#REF!</v>
      </c>
      <c r="J8" s="174" t="e">
        <f>IF($G1="Y",0,IF(($E1&lt;J3),VLOOKUP($D2&amp;$C8,#REF!,J3-$E1+1,FALSE)*'resource-variables'!$C$2*$D8,0))</f>
        <v>#REF!</v>
      </c>
      <c r="K8" s="174" t="e">
        <f>IF($G1="Y",0,IF(($E1&lt;K3),VLOOKUP($D2&amp;$C8,#REF!,K3-$E1+1,FALSE)*'resource-variables'!$C$2*$D8,0))</f>
        <v>#REF!</v>
      </c>
      <c r="L8" s="174" t="e">
        <f>IF($G1="Y",0,IF(($E1&lt;L3),VLOOKUP($D2&amp;$C8,#REF!,L3-$E1+1,FALSE)*'resource-variables'!$C$2*$D8,0))</f>
        <v>#REF!</v>
      </c>
      <c r="M8" s="174" t="e">
        <f>IF($G1="Y",0,IF(($E1&lt;M3),VLOOKUP($D2&amp;$C8,#REF!,M3-$E1+1,FALSE)*'resource-variables'!$C$2*$D8,0))</f>
        <v>#REF!</v>
      </c>
      <c r="N8" s="174" t="e">
        <f>IF($G1="Y",0,IF(($E1&lt;N3),VLOOKUP($D2&amp;$C8,#REF!,N3-$E1+1,FALSE)*'resource-variables'!$C$2*$D8,0))</f>
        <v>#REF!</v>
      </c>
      <c r="O8" s="174" t="e">
        <f>IF($G1="Y",0,IF(($E1&lt;O3),VLOOKUP($D2&amp;$C8,#REF!,O3-$E1+1,FALSE)*'resource-variables'!$C$2*$D8,0))</f>
        <v>#REF!</v>
      </c>
      <c r="P8" s="174" t="e">
        <f>IF($G1="Y",0,IF(($E1&lt;P3),VLOOKUP($D2&amp;$C8,#REF!,P3-$E1+1,FALSE)*'resource-variables'!$C$2*$D8,0))</f>
        <v>#REF!</v>
      </c>
      <c r="Q8" s="174" t="e">
        <f>IF($G1="Y",0,IF(($E1&lt;Q3),VLOOKUP($D2&amp;$C8,#REF!,Q3-$E1+1,FALSE)*'resource-variables'!$C$2*$D8,0))</f>
        <v>#REF!</v>
      </c>
      <c r="R8" s="174" t="e">
        <f>IF($G1="Y",0,IF(($E1&lt;R3),VLOOKUP($D2&amp;$C8,#REF!,R3-$E1+1,FALSE)*'resource-variables'!$C$2*$D8,0))</f>
        <v>#REF!</v>
      </c>
      <c r="S8" s="174" t="e">
        <f>IF($G1="Y",0,IF(($E1&lt;S3),VLOOKUP($D2&amp;$C8,#REF!,S3-$E1+1,FALSE)*'resource-variables'!$C$2*$D8,0))</f>
        <v>#REF!</v>
      </c>
      <c r="T8" s="174" t="e">
        <f>IF($G1="Y",0,IF(($E1&lt;T3),VLOOKUP($D2&amp;$C8,#REF!,T3-$E1+1,FALSE)*'resource-variables'!$C$2*$D8,0))</f>
        <v>#REF!</v>
      </c>
      <c r="U8" s="188" t="e">
        <f t="shared" si="1"/>
        <v>#REF!</v>
      </c>
      <c r="V8" s="200" t="e">
        <f t="shared" si="2"/>
        <v>#REF!</v>
      </c>
    </row>
    <row r="9" spans="1:22" ht="12.75">
      <c r="A9" s="123" t="s">
        <v>594</v>
      </c>
      <c r="B9" s="123" t="s">
        <v>596</v>
      </c>
      <c r="C9" s="169" t="s">
        <v>592</v>
      </c>
      <c r="D9" s="170">
        <v>0.15</v>
      </c>
      <c r="E9" s="174" t="e">
        <f>IF($G1="Y",0,IF(($E1&lt;E3),VLOOKUP($D2&amp;$C9,#REF!,E3-$E1+1,FALSE)*'resource-variables'!$C$2*$D9,0))</f>
        <v>#REF!</v>
      </c>
      <c r="F9" s="174" t="e">
        <f>IF($G1="Y",0,IF(($E1&lt;F3),VLOOKUP($D2&amp;$C9,#REF!,F3-$E1+1,FALSE)*'resource-variables'!$C$2*$D9,0))</f>
        <v>#REF!</v>
      </c>
      <c r="G9" s="174" t="e">
        <f>IF($G1="Y",0,IF(($E1&lt;G3),VLOOKUP($D2&amp;$C9,#REF!,G3-$E1+1,FALSE)*'resource-variables'!$C$2*$D9,0))</f>
        <v>#REF!</v>
      </c>
      <c r="H9" s="174" t="e">
        <f>IF($G1="Y",0,IF(($E1&lt;H3),VLOOKUP($D2&amp;$C9,#REF!,H3-$E1+1,FALSE)*'resource-variables'!$C$2*$D9,0))</f>
        <v>#REF!</v>
      </c>
      <c r="I9" s="174" t="e">
        <f>IF($G1="Y",0,IF(($E1&lt;I3),VLOOKUP($D2&amp;$C9,#REF!,I3-$E1+1,FALSE)*'resource-variables'!$C$2*$D9,0))</f>
        <v>#REF!</v>
      </c>
      <c r="J9" s="174" t="e">
        <f>IF($G1="Y",0,IF(($E1&lt;J3),VLOOKUP($D2&amp;$C9,#REF!,J3-$E1+1,FALSE)*'resource-variables'!$C$2*$D9,0))</f>
        <v>#REF!</v>
      </c>
      <c r="K9" s="174" t="e">
        <f>IF($G1="Y",0,IF(($E1&lt;K3),VLOOKUP($D2&amp;$C9,#REF!,K3-$E1+1,FALSE)*'resource-variables'!$C$2*$D9,0))</f>
        <v>#REF!</v>
      </c>
      <c r="L9" s="174" t="e">
        <f>IF($G1="Y",0,IF(($E1&lt;L3),VLOOKUP($D2&amp;$C9,#REF!,L3-$E1+1,FALSE)*'resource-variables'!$C$2*$D9,0))</f>
        <v>#REF!</v>
      </c>
      <c r="M9" s="174" t="e">
        <f>IF($G1="Y",0,IF(($E1&lt;M3),VLOOKUP($D2&amp;$C9,#REF!,M3-$E1+1,FALSE)*'resource-variables'!$C$2*$D9,0))</f>
        <v>#REF!</v>
      </c>
      <c r="N9" s="174" t="e">
        <f>IF($G1="Y",0,IF(($E1&lt;N3),VLOOKUP($D2&amp;$C9,#REF!,N3-$E1+1,FALSE)*'resource-variables'!$C$2*$D9,0))</f>
        <v>#REF!</v>
      </c>
      <c r="O9" s="174" t="e">
        <f>IF($G1="Y",0,IF(($E1&lt;O3),VLOOKUP($D2&amp;$C9,#REF!,O3-$E1+1,FALSE)*'resource-variables'!$C$2*$D9,0))</f>
        <v>#REF!</v>
      </c>
      <c r="P9" s="174" t="e">
        <f>IF($G1="Y",0,IF(($E1&lt;P3),VLOOKUP($D2&amp;$C9,#REF!,P3-$E1+1,FALSE)*'resource-variables'!$C$2*$D9,0))</f>
        <v>#REF!</v>
      </c>
      <c r="Q9" s="174" t="e">
        <f>IF($G1="Y",0,IF(($E1&lt;Q3),VLOOKUP($D2&amp;$C9,#REF!,Q3-$E1+1,FALSE)*'resource-variables'!$C$2*$D9,0))</f>
        <v>#REF!</v>
      </c>
      <c r="R9" s="174" t="e">
        <f>IF($G1="Y",0,IF(($E1&lt;R3),VLOOKUP($D2&amp;$C9,#REF!,R3-$E1+1,FALSE)*'resource-variables'!$C$2*$D9,0))</f>
        <v>#REF!</v>
      </c>
      <c r="S9" s="174" t="e">
        <f>IF($G1="Y",0,IF(($E1&lt;S3),VLOOKUP($D2&amp;$C9,#REF!,S3-$E1+1,FALSE)*'resource-variables'!$C$2*$D9,0))</f>
        <v>#REF!</v>
      </c>
      <c r="T9" s="174" t="e">
        <f>IF($G1="Y",0,IF(($E1&lt;T3),VLOOKUP($D2&amp;$C9,#REF!,T3-$E1+1,FALSE)*'resource-variables'!$C$2*$D9,0))</f>
        <v>#REF!</v>
      </c>
      <c r="U9" s="188" t="e">
        <f t="shared" si="1"/>
        <v>#REF!</v>
      </c>
      <c r="V9" s="200" t="e">
        <f t="shared" si="2"/>
        <v>#REF!</v>
      </c>
    </row>
    <row r="10" spans="1:22" ht="12.75">
      <c r="A10" s="123" t="s">
        <v>527</v>
      </c>
      <c r="B10" s="123" t="s">
        <v>597</v>
      </c>
      <c r="C10" s="169" t="s">
        <v>590</v>
      </c>
      <c r="D10" s="170">
        <v>0.5</v>
      </c>
      <c r="E10" s="174" t="e">
        <f>IF($G1="Y",0,IF(($E1&lt;E3),VLOOKUP($D2&amp;$C10,#REF!,E3-$E1+1,FALSE)*'resource-variables'!$C$2*$D10,0))</f>
        <v>#REF!</v>
      </c>
      <c r="F10" s="174" t="e">
        <f>IF($G1="Y",0,IF(($E1&lt;F3),VLOOKUP($D2&amp;$C10,#REF!,F3-$E1+1,FALSE)*'resource-variables'!$C$2*$D10,0))</f>
        <v>#REF!</v>
      </c>
      <c r="G10" s="174" t="e">
        <f>IF($G1="Y",0,IF(($E1&lt;G3),VLOOKUP($D2&amp;$C10,#REF!,G3-$E1+1,FALSE)*'resource-variables'!$C$2*$D10,0))</f>
        <v>#REF!</v>
      </c>
      <c r="H10" s="174" t="e">
        <f>IF($G1="Y",0,IF(($E1&lt;H3),VLOOKUP($D2&amp;$C10,#REF!,H3-$E1+1,FALSE)*'resource-variables'!$C$2*$D10,0))</f>
        <v>#REF!</v>
      </c>
      <c r="I10" s="174" t="e">
        <f>IF($G1="Y",0,IF(($E1&lt;I3),VLOOKUP($D2&amp;$C10,#REF!,I3-$E1+1,FALSE)*'resource-variables'!$C$2*$D10,0))</f>
        <v>#REF!</v>
      </c>
      <c r="J10" s="174" t="e">
        <f>IF($G1="Y",0,IF(($E1&lt;J3),VLOOKUP($D2&amp;$C10,#REF!,J3-$E1+1,FALSE)*'resource-variables'!$C$2*$D10,0))</f>
        <v>#REF!</v>
      </c>
      <c r="K10" s="174" t="e">
        <f>IF($G1="Y",0,IF(($E1&lt;K3),VLOOKUP($D2&amp;$C10,#REF!,K3-$E1+1,FALSE)*'resource-variables'!$C$2*$D10,0))</f>
        <v>#REF!</v>
      </c>
      <c r="L10" s="174" t="e">
        <f>IF($G1="Y",0,IF(($E1&lt;L3),VLOOKUP($D2&amp;$C10,#REF!,L3-$E1+1,FALSE)*'resource-variables'!$C$2*$D10,0))</f>
        <v>#REF!</v>
      </c>
      <c r="M10" s="174" t="e">
        <f>IF($G1="Y",0,IF(($E1&lt;M3),VLOOKUP($D2&amp;$C10,#REF!,M3-$E1+1,FALSE)*'resource-variables'!$C$2*$D10,0))</f>
        <v>#REF!</v>
      </c>
      <c r="N10" s="174" t="e">
        <f>IF($G1="Y",0,IF(($E1&lt;N3),VLOOKUP($D2&amp;$C10,#REF!,N3-$E1+1,FALSE)*'resource-variables'!$C$2*$D10,0))</f>
        <v>#REF!</v>
      </c>
      <c r="O10" s="174" t="e">
        <f>IF($G1="Y",0,IF(($E1&lt;O3),VLOOKUP($D2&amp;$C10,#REF!,O3-$E1+1,FALSE)*'resource-variables'!$C$2*$D10,0))</f>
        <v>#REF!</v>
      </c>
      <c r="P10" s="174" t="e">
        <f>IF($G1="Y",0,IF(($E1&lt;P3),VLOOKUP($D2&amp;$C10,#REF!,P3-$E1+1,FALSE)*'resource-variables'!$C$2*$D10,0))</f>
        <v>#REF!</v>
      </c>
      <c r="Q10" s="174" t="e">
        <f>IF($G1="Y",0,IF(($E1&lt;Q3),VLOOKUP($D2&amp;$C10,#REF!,Q3-$E1+1,FALSE)*'resource-variables'!$C$2*$D10,0))</f>
        <v>#REF!</v>
      </c>
      <c r="R10" s="174" t="e">
        <f>IF($G1="Y",0,IF(($E1&lt;R3),VLOOKUP($D2&amp;$C10,#REF!,R3-$E1+1,FALSE)*'resource-variables'!$C$2*$D10,0))</f>
        <v>#REF!</v>
      </c>
      <c r="S10" s="174" t="e">
        <f>IF($G1="Y",0,IF(($E1&lt;S3),VLOOKUP($D2&amp;$C10,#REF!,S3-$E1+1,FALSE)*'resource-variables'!$C$2*$D10,0))</f>
        <v>#REF!</v>
      </c>
      <c r="T10" s="174" t="e">
        <f>IF($G1="Y",0,IF(($E1&lt;T3),VLOOKUP($D2&amp;$C10,#REF!,T3-$E1+1,FALSE)*'resource-variables'!$C$2*$D10,0))</f>
        <v>#REF!</v>
      </c>
      <c r="U10" s="188" t="e">
        <f t="shared" si="1"/>
        <v>#REF!</v>
      </c>
      <c r="V10" s="200" t="e">
        <f t="shared" si="2"/>
        <v>#REF!</v>
      </c>
    </row>
    <row r="11" spans="1:22" ht="12.75">
      <c r="A11" s="42"/>
      <c r="B11" s="42"/>
      <c r="C11" s="42"/>
      <c r="D11" s="42"/>
      <c r="E11" s="42"/>
      <c r="F11" s="42"/>
      <c r="G11" s="42"/>
      <c r="H11" s="21"/>
      <c r="I11" s="21"/>
      <c r="J11" s="21"/>
      <c r="K11" s="21"/>
      <c r="L11" s="21"/>
      <c r="M11" s="21"/>
      <c r="N11" s="21"/>
      <c r="O11" s="21"/>
      <c r="P11" s="21"/>
      <c r="Q11" s="21"/>
      <c r="R11" s="21"/>
      <c r="S11" s="21"/>
      <c r="T11" s="21"/>
      <c r="U11" s="21"/>
      <c r="V11" s="21"/>
    </row>
    <row r="12" spans="1:22" ht="12.75">
      <c r="A12" s="6" t="s">
        <v>644</v>
      </c>
      <c r="B12" s="42"/>
      <c r="C12" s="44"/>
      <c r="D12" s="75" t="s">
        <v>233</v>
      </c>
      <c r="E12" s="76">
        <v>0</v>
      </c>
      <c r="F12" s="34" t="s">
        <v>238</v>
      </c>
      <c r="G12" s="77" t="s">
        <v>239</v>
      </c>
      <c r="H12" s="79"/>
      <c r="I12" s="80"/>
      <c r="J12" s="80"/>
      <c r="K12" s="80"/>
      <c r="L12" s="80"/>
      <c r="M12" s="80"/>
      <c r="N12" s="80"/>
      <c r="O12" s="80"/>
      <c r="P12" s="80"/>
      <c r="Q12" s="80"/>
      <c r="R12" s="80"/>
      <c r="S12" s="80"/>
      <c r="T12" s="80"/>
      <c r="U12" s="80"/>
      <c r="V12" s="80"/>
    </row>
    <row r="13" spans="1:22" ht="12.75">
      <c r="A13" s="81" t="s">
        <v>240</v>
      </c>
      <c r="B13" s="98" t="str">
        <f>VLOOKUP(A12,priortization!A:G,7,FALSE)</f>
        <v>8</v>
      </c>
      <c r="C13" s="85" t="e">
        <f>VLOOKUP(B13,#REF!,3)&amp;" size + Dur:"</f>
        <v>#REF!</v>
      </c>
      <c r="D13" s="114" t="e">
        <f>VLOOKUP(B13,#REF!,4)</f>
        <v>#REF!</v>
      </c>
      <c r="E13" s="116" t="s">
        <v>353</v>
      </c>
      <c r="F13" s="42"/>
      <c r="G13" s="42"/>
      <c r="H13" s="42"/>
      <c r="I13" s="42"/>
      <c r="J13" s="42"/>
      <c r="K13" s="42"/>
      <c r="L13" s="42"/>
      <c r="M13" s="42"/>
      <c r="N13" s="42"/>
      <c r="O13" s="42"/>
      <c r="P13" s="42"/>
      <c r="Q13" s="42"/>
      <c r="R13" s="42"/>
      <c r="S13" s="42"/>
      <c r="T13" s="42"/>
      <c r="U13" s="156"/>
      <c r="V13" s="158"/>
    </row>
    <row r="14" spans="1:22" ht="12.75">
      <c r="A14" s="81" t="s">
        <v>10</v>
      </c>
      <c r="B14" s="81" t="s">
        <v>4</v>
      </c>
      <c r="C14" s="166" t="s">
        <v>555</v>
      </c>
      <c r="D14" s="166" t="s">
        <v>576</v>
      </c>
      <c r="E14" s="81">
        <v>1</v>
      </c>
      <c r="F14" s="168" t="str">
        <f aca="true" t="shared" si="3" ref="F14:T14">E14+1</f>
        <v>2</v>
      </c>
      <c r="G14" s="168" t="str">
        <f t="shared" si="3"/>
        <v>3</v>
      </c>
      <c r="H14" s="168" t="str">
        <f t="shared" si="3"/>
        <v>4</v>
      </c>
      <c r="I14" s="168" t="str">
        <f t="shared" si="3"/>
        <v>5</v>
      </c>
      <c r="J14" s="168" t="str">
        <f t="shared" si="3"/>
        <v>6</v>
      </c>
      <c r="K14" s="168" t="str">
        <f t="shared" si="3"/>
        <v>7</v>
      </c>
      <c r="L14" s="168" t="str">
        <f t="shared" si="3"/>
        <v>8</v>
      </c>
      <c r="M14" s="168" t="str">
        <f t="shared" si="3"/>
        <v>9</v>
      </c>
      <c r="N14" s="168" t="str">
        <f t="shared" si="3"/>
        <v>10</v>
      </c>
      <c r="O14" s="168" t="str">
        <f t="shared" si="3"/>
        <v>11</v>
      </c>
      <c r="P14" s="168" t="str">
        <f t="shared" si="3"/>
        <v>12</v>
      </c>
      <c r="Q14" s="168" t="str">
        <f t="shared" si="3"/>
        <v>13</v>
      </c>
      <c r="R14" s="168" t="str">
        <f t="shared" si="3"/>
        <v>14</v>
      </c>
      <c r="S14" s="168" t="str">
        <f t="shared" si="3"/>
        <v>15</v>
      </c>
      <c r="T14" s="168" t="str">
        <f t="shared" si="3"/>
        <v>16</v>
      </c>
      <c r="U14" s="166" t="s">
        <v>580</v>
      </c>
      <c r="V14" s="166" t="s">
        <v>581</v>
      </c>
    </row>
    <row r="15" spans="1:22" ht="12.75">
      <c r="A15" s="123" t="s">
        <v>155</v>
      </c>
      <c r="B15" s="123" t="s">
        <v>578</v>
      </c>
      <c r="C15" s="169" t="s">
        <v>579</v>
      </c>
      <c r="D15" s="170">
        <v>0.25</v>
      </c>
      <c r="E15" s="174" t="e">
        <f>IF($G12="Y",0,IF(($E12&lt;E14),VLOOKUP($D13&amp;$C15,#REF!,E14-$E12+1,FALSE)*'resource-variables'!$C$2*$D15,0))</f>
        <v>#REF!</v>
      </c>
      <c r="F15" s="174" t="e">
        <f>IF($G12="Y",0,IF(($E12&lt;F14),VLOOKUP($D13&amp;$C15,#REF!,F14-$E12+1,FALSE)*'resource-variables'!$C$2*$D15,0))</f>
        <v>#REF!</v>
      </c>
      <c r="G15" s="174" t="e">
        <f>IF($G12="Y",0,IF(($E12&lt;G14),VLOOKUP($D13&amp;$C15,#REF!,G14-$E12+1,FALSE)*'resource-variables'!$C$2*$D15,0))</f>
        <v>#REF!</v>
      </c>
      <c r="H15" s="174" t="e">
        <f>IF($G12="Y",0,IF(($E12&lt;H14),VLOOKUP($D13&amp;$C15,#REF!,H14-$E12+1,FALSE)*'resource-variables'!$C$2*$D15,0))</f>
        <v>#REF!</v>
      </c>
      <c r="I15" s="174" t="e">
        <f>IF($G12="Y",0,IF(($E12&lt;I14),VLOOKUP($D13&amp;$C15,#REF!,I14-$E12+1,FALSE)*'resource-variables'!$C$2*$D15,0))</f>
        <v>#REF!</v>
      </c>
      <c r="J15" s="174" t="e">
        <f>IF($G12="Y",0,IF(($E12&lt;J14),VLOOKUP($D13&amp;$C15,#REF!,J14-$E12+1,FALSE)*'resource-variables'!$C$2*$D15,0))</f>
        <v>#REF!</v>
      </c>
      <c r="K15" s="174" t="e">
        <f>IF($G12="Y",0,IF(($E12&lt;K14),VLOOKUP($D13&amp;$C15,#REF!,K14-$E12+1,FALSE)*'resource-variables'!$C$2*$D15,0))</f>
        <v>#REF!</v>
      </c>
      <c r="L15" s="174" t="e">
        <f>IF($G12="Y",0,IF(($E12&lt;L14),VLOOKUP($D13&amp;$C15,#REF!,L14-$E12+1,FALSE)*'resource-variables'!$C$2*$D15,0))</f>
        <v>#REF!</v>
      </c>
      <c r="M15" s="174" t="e">
        <f>IF($G12="Y",0,IF(($E12&lt;M14),VLOOKUP($D13&amp;$C15,#REF!,M14-$E12+1,FALSE)*'resource-variables'!$C$2*$D15,0))</f>
        <v>#REF!</v>
      </c>
      <c r="N15" s="174" t="e">
        <f>IF($G12="Y",0,IF(($E12&lt;N14),VLOOKUP($D13&amp;$C15,#REF!,N14-$E12+1,FALSE)*'resource-variables'!$C$2*$D15,0))</f>
        <v>#REF!</v>
      </c>
      <c r="O15" s="174" t="e">
        <f>IF($G12="Y",0,IF(($E12&lt;O14),VLOOKUP($D13&amp;$C15,#REF!,O14-$E12+1,FALSE)*'resource-variables'!$C$2*$D15,0))</f>
        <v>#REF!</v>
      </c>
      <c r="P15" s="174" t="e">
        <f>IF($G12="Y",0,IF(($E12&lt;P14),VLOOKUP($D13&amp;$C15,#REF!,P14-$E12+1,FALSE)*'resource-variables'!$C$2*$D15,0))</f>
        <v>#REF!</v>
      </c>
      <c r="Q15" s="174" t="e">
        <f>IF($G12="Y",0,IF(($E12&lt;Q14),VLOOKUP($D13&amp;$C15,#REF!,Q14-$E12+1,FALSE)*'resource-variables'!$C$2*$D15,0))</f>
        <v>#REF!</v>
      </c>
      <c r="R15" s="174" t="e">
        <f>IF($G12="Y",0,IF(($E12&lt;R14),VLOOKUP($D13&amp;$C15,#REF!,R14-$E12+1,FALSE)*'resource-variables'!$C$2*$D15,0))</f>
        <v>#REF!</v>
      </c>
      <c r="S15" s="174" t="e">
        <f>IF($G12="Y",0,IF(($E12&lt;S14),VLOOKUP($D13&amp;$C15,#REF!,S14-$E12+1,FALSE)*'resource-variables'!$C$2*$D15,0))</f>
        <v>#REF!</v>
      </c>
      <c r="T15" s="174" t="e">
        <f>IF($G12="Y",0,IF(($E12&lt;T14),VLOOKUP($D13&amp;$C15,#REF!,T14-$E12+1,FALSE)*'resource-variables'!$C$2*$D15,0))</f>
        <v>#REF!</v>
      </c>
      <c r="U15" s="188" t="e">
        <f aca="true" t="shared" si="4" ref="U15:U21">SUM(E15:T15)</f>
        <v>#REF!</v>
      </c>
      <c r="V15" s="200" t="e">
        <f aca="true" t="shared" si="5" ref="V15:V21">U15*#REF!</f>
        <v>#REF!</v>
      </c>
    </row>
    <row r="16" spans="1:22" ht="12.75">
      <c r="A16" s="123" t="s">
        <v>582</v>
      </c>
      <c r="B16" s="123" t="s">
        <v>583</v>
      </c>
      <c r="C16" s="169" t="s">
        <v>584</v>
      </c>
      <c r="D16" s="170">
        <v>1</v>
      </c>
      <c r="E16" s="174" t="e">
        <f>IF($G12="Y",0,IF(($E12&lt;E14),VLOOKUP($D13&amp;$C16,#REF!,E14-$E12+1,FALSE)*'resource-variables'!$C$2*$D16,0))</f>
        <v>#REF!</v>
      </c>
      <c r="F16" s="174" t="e">
        <f>IF($G12="Y",0,IF(($E12&lt;F14),VLOOKUP($D13&amp;$C16,#REF!,F14-$E12+1,FALSE)*'resource-variables'!$C$2*$D16,0))</f>
        <v>#REF!</v>
      </c>
      <c r="G16" s="174" t="e">
        <f>IF($G12="Y",0,IF(($E12&lt;G14),VLOOKUP($D13&amp;$C16,#REF!,G14-$E12+1,FALSE)*'resource-variables'!$C$2*$D16,0))</f>
        <v>#REF!</v>
      </c>
      <c r="H16" s="174" t="e">
        <f>IF($G12="Y",0,IF(($E12&lt;H14),VLOOKUP($D13&amp;$C16,#REF!,H14-$E12+1,FALSE)*'resource-variables'!$C$2*$D16,0))</f>
        <v>#REF!</v>
      </c>
      <c r="I16" s="174" t="e">
        <f>IF($G12="Y",0,IF(($E12&lt;I14),VLOOKUP($D13&amp;$C16,#REF!,I14-$E12+1,FALSE)*'resource-variables'!$C$2*$D16,0))</f>
        <v>#REF!</v>
      </c>
      <c r="J16" s="174" t="e">
        <f>IF($G12="Y",0,IF(($E12&lt;J14),VLOOKUP($D13&amp;$C16,#REF!,J14-$E12+1,FALSE)*'resource-variables'!$C$2*$D16,0))</f>
        <v>#REF!</v>
      </c>
      <c r="K16" s="174" t="e">
        <f>IF($G12="Y",0,IF(($E12&lt;K14),VLOOKUP($D13&amp;$C16,#REF!,K14-$E12+1,FALSE)*'resource-variables'!$C$2*$D16,0))</f>
        <v>#REF!</v>
      </c>
      <c r="L16" s="174" t="e">
        <f>IF($G12="Y",0,IF(($E12&lt;L14),VLOOKUP($D13&amp;$C16,#REF!,L14-$E12+1,FALSE)*'resource-variables'!$C$2*$D16,0))</f>
        <v>#REF!</v>
      </c>
      <c r="M16" s="174" t="e">
        <f>IF($G12="Y",0,IF(($E12&lt;M14),VLOOKUP($D13&amp;$C16,#REF!,M14-$E12+1,FALSE)*'resource-variables'!$C$2*$D16,0))</f>
        <v>#REF!</v>
      </c>
      <c r="N16" s="174" t="e">
        <f>IF($G12="Y",0,IF(($E12&lt;N14),VLOOKUP($D13&amp;$C16,#REF!,N14-$E12+1,FALSE)*'resource-variables'!$C$2*$D16,0))</f>
        <v>#REF!</v>
      </c>
      <c r="O16" s="174" t="e">
        <f>IF($G12="Y",0,IF(($E12&lt;O14),VLOOKUP($D13&amp;$C16,#REF!,O14-$E12+1,FALSE)*'resource-variables'!$C$2*$D16,0))</f>
        <v>#REF!</v>
      </c>
      <c r="P16" s="174" t="e">
        <f>IF($G12="Y",0,IF(($E12&lt;P14),VLOOKUP($D13&amp;$C16,#REF!,P14-$E12+1,FALSE)*'resource-variables'!$C$2*$D16,0))</f>
        <v>#REF!</v>
      </c>
      <c r="Q16" s="174" t="e">
        <f>IF($G12="Y",0,IF(($E12&lt;Q14),VLOOKUP($D13&amp;$C16,#REF!,Q14-$E12+1,FALSE)*'resource-variables'!$C$2*$D16,0))</f>
        <v>#REF!</v>
      </c>
      <c r="R16" s="174" t="e">
        <f>IF($G12="Y",0,IF(($E12&lt;R14),VLOOKUP($D13&amp;$C16,#REF!,R14-$E12+1,FALSE)*'resource-variables'!$C$2*$D16,0))</f>
        <v>#REF!</v>
      </c>
      <c r="S16" s="174" t="e">
        <f>IF($G12="Y",0,IF(($E12&lt;S14),VLOOKUP($D13&amp;$C16,#REF!,S14-$E12+1,FALSE)*'resource-variables'!$C$2*$D16,0))</f>
        <v>#REF!</v>
      </c>
      <c r="T16" s="174" t="e">
        <f>IF($G12="Y",0,IF(($E12&lt;T14),VLOOKUP($D13&amp;$C16,#REF!,T14-$E12+1,FALSE)*'resource-variables'!$C$2*$D16,0))</f>
        <v>#REF!</v>
      </c>
      <c r="U16" s="188" t="e">
        <f t="shared" si="4"/>
        <v>#REF!</v>
      </c>
      <c r="V16" s="200" t="e">
        <f t="shared" si="5"/>
        <v>#REF!</v>
      </c>
    </row>
    <row r="17" spans="1:22" ht="12.75">
      <c r="A17" s="123" t="s">
        <v>585</v>
      </c>
      <c r="B17" s="123" t="s">
        <v>586</v>
      </c>
      <c r="C17" s="169" t="s">
        <v>584</v>
      </c>
      <c r="D17" s="170">
        <v>0.05</v>
      </c>
      <c r="E17" s="174" t="e">
        <f>IF($G12="Y",0,IF(($E12&lt;E14),VLOOKUP($D13&amp;$C17,#REF!,E14-$E12+1,FALSE)*'resource-variables'!$C$2*$D17,0))</f>
        <v>#REF!</v>
      </c>
      <c r="F17" s="174" t="e">
        <f>IF($G12="Y",0,IF(($E12&lt;F14),VLOOKUP($D13&amp;$C17,#REF!,F14-$E12+1,FALSE)*'resource-variables'!$C$2*$D17,0))</f>
        <v>#REF!</v>
      </c>
      <c r="G17" s="174" t="e">
        <f>IF($G12="Y",0,IF(($E12&lt;G14),VLOOKUP($D13&amp;$C17,#REF!,G14-$E12+1,FALSE)*'resource-variables'!$C$2*$D17,0))</f>
        <v>#REF!</v>
      </c>
      <c r="H17" s="174" t="e">
        <f>IF($G12="Y",0,IF(($E12&lt;H14),VLOOKUP($D13&amp;$C17,#REF!,H14-$E12+1,FALSE)*'resource-variables'!$C$2*$D17,0))</f>
        <v>#REF!</v>
      </c>
      <c r="I17" s="174" t="e">
        <f>IF($G12="Y",0,IF(($E12&lt;I14),VLOOKUP($D13&amp;$C17,#REF!,I14-$E12+1,FALSE)*'resource-variables'!$C$2*$D17,0))</f>
        <v>#REF!</v>
      </c>
      <c r="J17" s="174" t="e">
        <f>IF($G12="Y",0,IF(($E12&lt;J14),VLOOKUP($D13&amp;$C17,#REF!,J14-$E12+1,FALSE)*'resource-variables'!$C$2*$D17,0))</f>
        <v>#REF!</v>
      </c>
      <c r="K17" s="174" t="e">
        <f>IF($G12="Y",0,IF(($E12&lt;K14),VLOOKUP($D13&amp;$C17,#REF!,K14-$E12+1,FALSE)*'resource-variables'!$C$2*$D17,0))</f>
        <v>#REF!</v>
      </c>
      <c r="L17" s="174" t="e">
        <f>IF($G12="Y",0,IF(($E12&lt;L14),VLOOKUP($D13&amp;$C17,#REF!,L14-$E12+1,FALSE)*'resource-variables'!$C$2*$D17,0))</f>
        <v>#REF!</v>
      </c>
      <c r="M17" s="174" t="e">
        <f>IF($G12="Y",0,IF(($E12&lt;M14),VLOOKUP($D13&amp;$C17,#REF!,M14-$E12+1,FALSE)*'resource-variables'!$C$2*$D17,0))</f>
        <v>#REF!</v>
      </c>
      <c r="N17" s="174" t="e">
        <f>IF($G12="Y",0,IF(($E12&lt;N14),VLOOKUP($D13&amp;$C17,#REF!,N14-$E12+1,FALSE)*'resource-variables'!$C$2*$D17,0))</f>
        <v>#REF!</v>
      </c>
      <c r="O17" s="174" t="e">
        <f>IF($G12="Y",0,IF(($E12&lt;O14),VLOOKUP($D13&amp;$C17,#REF!,O14-$E12+1,FALSE)*'resource-variables'!$C$2*$D17,0))</f>
        <v>#REF!</v>
      </c>
      <c r="P17" s="174" t="e">
        <f>IF($G12="Y",0,IF(($E12&lt;P14),VLOOKUP($D13&amp;$C17,#REF!,P14-$E12+1,FALSE)*'resource-variables'!$C$2*$D17,0))</f>
        <v>#REF!</v>
      </c>
      <c r="Q17" s="174" t="e">
        <f>IF($G12="Y",0,IF(($E12&lt;Q14),VLOOKUP($D13&amp;$C17,#REF!,Q14-$E12+1,FALSE)*'resource-variables'!$C$2*$D17,0))</f>
        <v>#REF!</v>
      </c>
      <c r="R17" s="174" t="e">
        <f>IF($G12="Y",0,IF(($E12&lt;R14),VLOOKUP($D13&amp;$C17,#REF!,R14-$E12+1,FALSE)*'resource-variables'!$C$2*$D17,0))</f>
        <v>#REF!</v>
      </c>
      <c r="S17" s="174" t="e">
        <f>IF($G12="Y",0,IF(($E12&lt;S14),VLOOKUP($D13&amp;$C17,#REF!,S14-$E12+1,FALSE)*'resource-variables'!$C$2*$D17,0))</f>
        <v>#REF!</v>
      </c>
      <c r="T17" s="174" t="e">
        <f>IF($G12="Y",0,IF(($E12&lt;T14),VLOOKUP($D13&amp;$C17,#REF!,T14-$E12+1,FALSE)*'resource-variables'!$C$2*$D17,0))</f>
        <v>#REF!</v>
      </c>
      <c r="U17" s="188" t="e">
        <f t="shared" si="4"/>
        <v>#REF!</v>
      </c>
      <c r="V17" s="200" t="e">
        <f t="shared" si="5"/>
        <v>#REF!</v>
      </c>
    </row>
    <row r="18" spans="1:22" ht="12.75">
      <c r="A18" s="123" t="s">
        <v>588</v>
      </c>
      <c r="B18" s="123" t="s">
        <v>589</v>
      </c>
      <c r="C18" s="169" t="s">
        <v>590</v>
      </c>
      <c r="D18" s="170">
        <v>0.05</v>
      </c>
      <c r="E18" s="174" t="e">
        <f>IF($G12="Y",0,IF(($E12&lt;E14),VLOOKUP($D13&amp;$C18,#REF!,E14-$E12+1,FALSE)*'resource-variables'!$C$2*$D18,0))</f>
        <v>#REF!</v>
      </c>
      <c r="F18" s="174" t="e">
        <f>IF($G12="Y",0,IF(($E12&lt;F14),VLOOKUP($D13&amp;$C18,#REF!,F14-$E12+1,FALSE)*'resource-variables'!$C$2*$D18,0))</f>
        <v>#REF!</v>
      </c>
      <c r="G18" s="174" t="e">
        <f>IF($G12="Y",0,IF(($E12&lt;G14),VLOOKUP($D13&amp;$C18,#REF!,G14-$E12+1,FALSE)*'resource-variables'!$C$2*$D18,0))</f>
        <v>#REF!</v>
      </c>
      <c r="H18" s="174" t="e">
        <f>IF($G12="Y",0,IF(($E12&lt;H14),VLOOKUP($D13&amp;$C18,#REF!,H14-$E12+1,FALSE)*'resource-variables'!$C$2*$D18,0))</f>
        <v>#REF!</v>
      </c>
      <c r="I18" s="174" t="e">
        <f>IF($G12="Y",0,IF(($E12&lt;I14),VLOOKUP($D13&amp;$C18,#REF!,I14-$E12+1,FALSE)*'resource-variables'!$C$2*$D18,0))</f>
        <v>#REF!</v>
      </c>
      <c r="J18" s="174" t="e">
        <f>IF($G12="Y",0,IF(($E12&lt;J14),VLOOKUP($D13&amp;$C18,#REF!,J14-$E12+1,FALSE)*'resource-variables'!$C$2*$D18,0))</f>
        <v>#REF!</v>
      </c>
      <c r="K18" s="174" t="e">
        <f>IF($G12="Y",0,IF(($E12&lt;K14),VLOOKUP($D13&amp;$C18,#REF!,K14-$E12+1,FALSE)*'resource-variables'!$C$2*$D18,0))</f>
        <v>#REF!</v>
      </c>
      <c r="L18" s="174" t="e">
        <f>IF($G12="Y",0,IF(($E12&lt;L14),VLOOKUP($D13&amp;$C18,#REF!,L14-$E12+1,FALSE)*'resource-variables'!$C$2*$D18,0))</f>
        <v>#REF!</v>
      </c>
      <c r="M18" s="174" t="e">
        <f>IF($G12="Y",0,IF(($E12&lt;M14),VLOOKUP($D13&amp;$C18,#REF!,M14-$E12+1,FALSE)*'resource-variables'!$C$2*$D18,0))</f>
        <v>#REF!</v>
      </c>
      <c r="N18" s="174" t="e">
        <f>IF($G12="Y",0,IF(($E12&lt;N14),VLOOKUP($D13&amp;$C18,#REF!,N14-$E12+1,FALSE)*'resource-variables'!$C$2*$D18,0))</f>
        <v>#REF!</v>
      </c>
      <c r="O18" s="174" t="e">
        <f>IF($G12="Y",0,IF(($E12&lt;O14),VLOOKUP($D13&amp;$C18,#REF!,O14-$E12+1,FALSE)*'resource-variables'!$C$2*$D18,0))</f>
        <v>#REF!</v>
      </c>
      <c r="P18" s="174" t="e">
        <f>IF($G12="Y",0,IF(($E12&lt;P14),VLOOKUP($D13&amp;$C18,#REF!,P14-$E12+1,FALSE)*'resource-variables'!$C$2*$D18,0))</f>
        <v>#REF!</v>
      </c>
      <c r="Q18" s="174" t="e">
        <f>IF($G12="Y",0,IF(($E12&lt;Q14),VLOOKUP($D13&amp;$C18,#REF!,Q14-$E12+1,FALSE)*'resource-variables'!$C$2*$D18,0))</f>
        <v>#REF!</v>
      </c>
      <c r="R18" s="174" t="e">
        <f>IF($G12="Y",0,IF(($E12&lt;R14),VLOOKUP($D13&amp;$C18,#REF!,R14-$E12+1,FALSE)*'resource-variables'!$C$2*$D18,0))</f>
        <v>#REF!</v>
      </c>
      <c r="S18" s="174" t="e">
        <f>IF($G12="Y",0,IF(($E12&lt;S14),VLOOKUP($D13&amp;$C18,#REF!,S14-$E12+1,FALSE)*'resource-variables'!$C$2*$D18,0))</f>
        <v>#REF!</v>
      </c>
      <c r="T18" s="174" t="e">
        <f>IF($G12="Y",0,IF(($E12&lt;T14),VLOOKUP($D13&amp;$C18,#REF!,T14-$E12+1,FALSE)*'resource-variables'!$C$2*$D18,0))</f>
        <v>#REF!</v>
      </c>
      <c r="U18" s="188" t="e">
        <f t="shared" si="4"/>
        <v>#REF!</v>
      </c>
      <c r="V18" s="200" t="e">
        <f t="shared" si="5"/>
        <v>#REF!</v>
      </c>
    </row>
    <row r="19" spans="1:22" ht="12.75">
      <c r="A19" s="123" t="s">
        <v>256</v>
      </c>
      <c r="B19" s="123" t="s">
        <v>591</v>
      </c>
      <c r="C19" s="169" t="s">
        <v>592</v>
      </c>
      <c r="D19" s="170">
        <v>0.1</v>
      </c>
      <c r="E19" s="174" t="e">
        <f>IF($G12="Y",0,IF(($E12&lt;E14),VLOOKUP($D13&amp;$C19,#REF!,E14-$E12+1,FALSE)*'resource-variables'!$C$2*$D19,0))</f>
        <v>#REF!</v>
      </c>
      <c r="F19" s="174" t="e">
        <f>IF($G12="Y",0,IF(($E12&lt;F14),VLOOKUP($D13&amp;$C19,#REF!,F14-$E12+1,FALSE)*'resource-variables'!$C$2*$D19,0))</f>
        <v>#REF!</v>
      </c>
      <c r="G19" s="174" t="e">
        <f>IF($G12="Y",0,IF(($E12&lt;G14),VLOOKUP($D13&amp;$C19,#REF!,G14-$E12+1,FALSE)*'resource-variables'!$C$2*$D19,0))</f>
        <v>#REF!</v>
      </c>
      <c r="H19" s="174" t="e">
        <f>IF($G12="Y",0,IF(($E12&lt;H14),VLOOKUP($D13&amp;$C19,#REF!,H14-$E12+1,FALSE)*'resource-variables'!$C$2*$D19,0))</f>
        <v>#REF!</v>
      </c>
      <c r="I19" s="174" t="e">
        <f>IF($G12="Y",0,IF(($E12&lt;I14),VLOOKUP($D13&amp;$C19,#REF!,I14-$E12+1,FALSE)*'resource-variables'!$C$2*$D19,0))</f>
        <v>#REF!</v>
      </c>
      <c r="J19" s="174" t="e">
        <f>IF($G12="Y",0,IF(($E12&lt;J14),VLOOKUP($D13&amp;$C19,#REF!,J14-$E12+1,FALSE)*'resource-variables'!$C$2*$D19,0))</f>
        <v>#REF!</v>
      </c>
      <c r="K19" s="174" t="e">
        <f>IF($G12="Y",0,IF(($E12&lt;K14),VLOOKUP($D13&amp;$C19,#REF!,K14-$E12+1,FALSE)*'resource-variables'!$C$2*$D19,0))</f>
        <v>#REF!</v>
      </c>
      <c r="L19" s="174" t="e">
        <f>IF($G12="Y",0,IF(($E12&lt;L14),VLOOKUP($D13&amp;$C19,#REF!,L14-$E12+1,FALSE)*'resource-variables'!$C$2*$D19,0))</f>
        <v>#REF!</v>
      </c>
      <c r="M19" s="174" t="e">
        <f>IF($G12="Y",0,IF(($E12&lt;M14),VLOOKUP($D13&amp;$C19,#REF!,M14-$E12+1,FALSE)*'resource-variables'!$C$2*$D19,0))</f>
        <v>#REF!</v>
      </c>
      <c r="N19" s="174" t="e">
        <f>IF($G12="Y",0,IF(($E12&lt;N14),VLOOKUP($D13&amp;$C19,#REF!,N14-$E12+1,FALSE)*'resource-variables'!$C$2*$D19,0))</f>
        <v>#REF!</v>
      </c>
      <c r="O19" s="174" t="e">
        <f>IF($G12="Y",0,IF(($E12&lt;O14),VLOOKUP($D13&amp;$C19,#REF!,O14-$E12+1,FALSE)*'resource-variables'!$C$2*$D19,0))</f>
        <v>#REF!</v>
      </c>
      <c r="P19" s="174" t="e">
        <f>IF($G12="Y",0,IF(($E12&lt;P14),VLOOKUP($D13&amp;$C19,#REF!,P14-$E12+1,FALSE)*'resource-variables'!$C$2*$D19,0))</f>
        <v>#REF!</v>
      </c>
      <c r="Q19" s="174" t="e">
        <f>IF($G12="Y",0,IF(($E12&lt;Q14),VLOOKUP($D13&amp;$C19,#REF!,Q14-$E12+1,FALSE)*'resource-variables'!$C$2*$D19,0))</f>
        <v>#REF!</v>
      </c>
      <c r="R19" s="174" t="e">
        <f>IF($G12="Y",0,IF(($E12&lt;R14),VLOOKUP($D13&amp;$C19,#REF!,R14-$E12+1,FALSE)*'resource-variables'!$C$2*$D19,0))</f>
        <v>#REF!</v>
      </c>
      <c r="S19" s="174" t="e">
        <f>IF($G12="Y",0,IF(($E12&lt;S14),VLOOKUP($D13&amp;$C19,#REF!,S14-$E12+1,FALSE)*'resource-variables'!$C$2*$D19,0))</f>
        <v>#REF!</v>
      </c>
      <c r="T19" s="174" t="e">
        <f>IF($G12="Y",0,IF(($E12&lt;T14),VLOOKUP($D13&amp;$C19,#REF!,T14-$E12+1,FALSE)*'resource-variables'!$C$2*$D19,0))</f>
        <v>#REF!</v>
      </c>
      <c r="U19" s="188" t="e">
        <f t="shared" si="4"/>
        <v>#REF!</v>
      </c>
      <c r="V19" s="200" t="e">
        <f t="shared" si="5"/>
        <v>#REF!</v>
      </c>
    </row>
    <row r="20" spans="1:22" ht="12.75">
      <c r="A20" s="123" t="s">
        <v>594</v>
      </c>
      <c r="B20" s="123" t="s">
        <v>596</v>
      </c>
      <c r="C20" s="169" t="s">
        <v>592</v>
      </c>
      <c r="D20" s="170">
        <v>0.1</v>
      </c>
      <c r="E20" s="174" t="e">
        <f>IF($G12="Y",0,IF(($E12&lt;E14),VLOOKUP($D13&amp;$C20,#REF!,E14-$E12+1,FALSE)*'resource-variables'!$C$2*$D20,0))</f>
        <v>#REF!</v>
      </c>
      <c r="F20" s="174" t="e">
        <f>IF($G12="Y",0,IF(($E12&lt;F14),VLOOKUP($D13&amp;$C20,#REF!,F14-$E12+1,FALSE)*'resource-variables'!$C$2*$D20,0))</f>
        <v>#REF!</v>
      </c>
      <c r="G20" s="174" t="e">
        <f>IF($G12="Y",0,IF(($E12&lt;G14),VLOOKUP($D13&amp;$C20,#REF!,G14-$E12+1,FALSE)*'resource-variables'!$C$2*$D20,0))</f>
        <v>#REF!</v>
      </c>
      <c r="H20" s="174" t="e">
        <f>IF($G12="Y",0,IF(($E12&lt;H14),VLOOKUP($D13&amp;$C20,#REF!,H14-$E12+1,FALSE)*'resource-variables'!$C$2*$D20,0))</f>
        <v>#REF!</v>
      </c>
      <c r="I20" s="174" t="e">
        <f>IF($G12="Y",0,IF(($E12&lt;I14),VLOOKUP($D13&amp;$C20,#REF!,I14-$E12+1,FALSE)*'resource-variables'!$C$2*$D20,0))</f>
        <v>#REF!</v>
      </c>
      <c r="J20" s="174" t="e">
        <f>IF($G12="Y",0,IF(($E12&lt;J14),VLOOKUP($D13&amp;$C20,#REF!,J14-$E12+1,FALSE)*'resource-variables'!$C$2*$D20,0))</f>
        <v>#REF!</v>
      </c>
      <c r="K20" s="174" t="e">
        <f>IF($G12="Y",0,IF(($E12&lt;K14),VLOOKUP($D13&amp;$C20,#REF!,K14-$E12+1,FALSE)*'resource-variables'!$C$2*$D20,0))</f>
        <v>#REF!</v>
      </c>
      <c r="L20" s="174" t="e">
        <f>IF($G12="Y",0,IF(($E12&lt;L14),VLOOKUP($D13&amp;$C20,#REF!,L14-$E12+1,FALSE)*'resource-variables'!$C$2*$D20,0))</f>
        <v>#REF!</v>
      </c>
      <c r="M20" s="174" t="e">
        <f>IF($G12="Y",0,IF(($E12&lt;M14),VLOOKUP($D13&amp;$C20,#REF!,M14-$E12+1,FALSE)*'resource-variables'!$C$2*$D20,0))</f>
        <v>#REF!</v>
      </c>
      <c r="N20" s="174" t="e">
        <f>IF($G12="Y",0,IF(($E12&lt;N14),VLOOKUP($D13&amp;$C20,#REF!,N14-$E12+1,FALSE)*'resource-variables'!$C$2*$D20,0))</f>
        <v>#REF!</v>
      </c>
      <c r="O20" s="174" t="e">
        <f>IF($G12="Y",0,IF(($E12&lt;O14),VLOOKUP($D13&amp;$C20,#REF!,O14-$E12+1,FALSE)*'resource-variables'!$C$2*$D20,0))</f>
        <v>#REF!</v>
      </c>
      <c r="P20" s="174" t="e">
        <f>IF($G12="Y",0,IF(($E12&lt;P14),VLOOKUP($D13&amp;$C20,#REF!,P14-$E12+1,FALSE)*'resource-variables'!$C$2*$D20,0))</f>
        <v>#REF!</v>
      </c>
      <c r="Q20" s="174" t="e">
        <f>IF($G12="Y",0,IF(($E12&lt;Q14),VLOOKUP($D13&amp;$C20,#REF!,Q14-$E12+1,FALSE)*'resource-variables'!$C$2*$D20,0))</f>
        <v>#REF!</v>
      </c>
      <c r="R20" s="174" t="e">
        <f>IF($G12="Y",0,IF(($E12&lt;R14),VLOOKUP($D13&amp;$C20,#REF!,R14-$E12+1,FALSE)*'resource-variables'!$C$2*$D20,0))</f>
        <v>#REF!</v>
      </c>
      <c r="S20" s="174" t="e">
        <f>IF($G12="Y",0,IF(($E12&lt;S14),VLOOKUP($D13&amp;$C20,#REF!,S14-$E12+1,FALSE)*'resource-variables'!$C$2*$D20,0))</f>
        <v>#REF!</v>
      </c>
      <c r="T20" s="174" t="e">
        <f>IF($G12="Y",0,IF(($E12&lt;T14),VLOOKUP($D13&amp;$C20,#REF!,T14-$E12+1,FALSE)*'resource-variables'!$C$2*$D20,0))</f>
        <v>#REF!</v>
      </c>
      <c r="U20" s="188" t="e">
        <f t="shared" si="4"/>
        <v>#REF!</v>
      </c>
      <c r="V20" s="200" t="e">
        <f t="shared" si="5"/>
        <v>#REF!</v>
      </c>
    </row>
    <row r="21" spans="1:22" ht="12.75">
      <c r="A21" s="123" t="s">
        <v>527</v>
      </c>
      <c r="B21" s="123" t="s">
        <v>597</v>
      </c>
      <c r="C21" s="169" t="s">
        <v>590</v>
      </c>
      <c r="D21" s="170">
        <v>0.4</v>
      </c>
      <c r="E21" s="174" t="e">
        <f>IF($G12="Y",0,IF(($E12&lt;E14),VLOOKUP($D13&amp;$C21,#REF!,E14-$E12+1,FALSE)*'resource-variables'!$C$2*$D21,0))</f>
        <v>#REF!</v>
      </c>
      <c r="F21" s="174" t="e">
        <f>IF($G12="Y",0,IF(($E12&lt;F14),VLOOKUP($D13&amp;$C21,#REF!,F14-$E12+1,FALSE)*'resource-variables'!$C$2*$D21,0))</f>
        <v>#REF!</v>
      </c>
      <c r="G21" s="174" t="e">
        <f>IF($G12="Y",0,IF(($E12&lt;G14),VLOOKUP($D13&amp;$C21,#REF!,G14-$E12+1,FALSE)*'resource-variables'!$C$2*$D21,0))</f>
        <v>#REF!</v>
      </c>
      <c r="H21" s="174" t="e">
        <f>IF($G12="Y",0,IF(($E12&lt;H14),VLOOKUP($D13&amp;$C21,#REF!,H14-$E12+1,FALSE)*'resource-variables'!$C$2*$D21,0))</f>
        <v>#REF!</v>
      </c>
      <c r="I21" s="174" t="e">
        <f>IF($G12="Y",0,IF(($E12&lt;I14),VLOOKUP($D13&amp;$C21,#REF!,I14-$E12+1,FALSE)*'resource-variables'!$C$2*$D21,0))</f>
        <v>#REF!</v>
      </c>
      <c r="J21" s="174" t="e">
        <f>IF($G12="Y",0,IF(($E12&lt;J14),VLOOKUP($D13&amp;$C21,#REF!,J14-$E12+1,FALSE)*'resource-variables'!$C$2*$D21,0))</f>
        <v>#REF!</v>
      </c>
      <c r="K21" s="174" t="e">
        <f>IF($G12="Y",0,IF(($E12&lt;K14),VLOOKUP($D13&amp;$C21,#REF!,K14-$E12+1,FALSE)*'resource-variables'!$C$2*$D21,0))</f>
        <v>#REF!</v>
      </c>
      <c r="L21" s="174" t="e">
        <f>IF($G12="Y",0,IF(($E12&lt;L14),VLOOKUP($D13&amp;$C21,#REF!,L14-$E12+1,FALSE)*'resource-variables'!$C$2*$D21,0))</f>
        <v>#REF!</v>
      </c>
      <c r="M21" s="174" t="e">
        <f>IF($G12="Y",0,IF(($E12&lt;M14),VLOOKUP($D13&amp;$C21,#REF!,M14-$E12+1,FALSE)*'resource-variables'!$C$2*$D21,0))</f>
        <v>#REF!</v>
      </c>
      <c r="N21" s="174" t="e">
        <f>IF($G12="Y",0,IF(($E12&lt;N14),VLOOKUP($D13&amp;$C21,#REF!,N14-$E12+1,FALSE)*'resource-variables'!$C$2*$D21,0))</f>
        <v>#REF!</v>
      </c>
      <c r="O21" s="174" t="e">
        <f>IF($G12="Y",0,IF(($E12&lt;O14),VLOOKUP($D13&amp;$C21,#REF!,O14-$E12+1,FALSE)*'resource-variables'!$C$2*$D21,0))</f>
        <v>#REF!</v>
      </c>
      <c r="P21" s="174" t="e">
        <f>IF($G12="Y",0,IF(($E12&lt;P14),VLOOKUP($D13&amp;$C21,#REF!,P14-$E12+1,FALSE)*'resource-variables'!$C$2*$D21,0))</f>
        <v>#REF!</v>
      </c>
      <c r="Q21" s="174" t="e">
        <f>IF($G12="Y",0,IF(($E12&lt;Q14),VLOOKUP($D13&amp;$C21,#REF!,Q14-$E12+1,FALSE)*'resource-variables'!$C$2*$D21,0))</f>
        <v>#REF!</v>
      </c>
      <c r="R21" s="174" t="e">
        <f>IF($G12="Y",0,IF(($E12&lt;R14),VLOOKUP($D13&amp;$C21,#REF!,R14-$E12+1,FALSE)*'resource-variables'!$C$2*$D21,0))</f>
        <v>#REF!</v>
      </c>
      <c r="S21" s="174" t="e">
        <f>IF($G12="Y",0,IF(($E12&lt;S14),VLOOKUP($D13&amp;$C21,#REF!,S14-$E12+1,FALSE)*'resource-variables'!$C$2*$D21,0))</f>
        <v>#REF!</v>
      </c>
      <c r="T21" s="174" t="e">
        <f>IF($G12="Y",0,IF(($E12&lt;T14),VLOOKUP($D13&amp;$C21,#REF!,T14-$E12+1,FALSE)*'resource-variables'!$C$2*$D21,0))</f>
        <v>#REF!</v>
      </c>
      <c r="U21" s="188" t="e">
        <f t="shared" si="4"/>
        <v>#REF!</v>
      </c>
      <c r="V21" s="200" t="e">
        <f t="shared" si="5"/>
        <v>#REF!</v>
      </c>
    </row>
    <row r="22" spans="1:22" ht="12.75">
      <c r="A22" s="42"/>
      <c r="B22" s="42"/>
      <c r="C22" s="42"/>
      <c r="D22" s="42"/>
      <c r="E22" s="42"/>
      <c r="F22" s="42"/>
      <c r="G22" s="42"/>
      <c r="H22" s="21"/>
      <c r="I22" s="21"/>
      <c r="J22" s="21"/>
      <c r="K22" s="21"/>
      <c r="L22" s="21"/>
      <c r="M22" s="21"/>
      <c r="N22" s="21"/>
      <c r="O22" s="21"/>
      <c r="P22" s="21"/>
      <c r="Q22" s="21"/>
      <c r="R22" s="21"/>
      <c r="S22" s="21"/>
      <c r="T22" s="21"/>
      <c r="U22" s="21"/>
      <c r="V22" s="21"/>
    </row>
    <row r="23" spans="1:22" ht="12.75">
      <c r="A23" s="6" t="s">
        <v>830</v>
      </c>
      <c r="B23" s="42"/>
      <c r="C23" s="44"/>
      <c r="D23" s="75" t="s">
        <v>233</v>
      </c>
      <c r="E23" s="76">
        <v>0</v>
      </c>
      <c r="F23" s="34" t="s">
        <v>238</v>
      </c>
      <c r="G23" s="77" t="s">
        <v>239</v>
      </c>
      <c r="H23" s="79"/>
      <c r="I23" s="80"/>
      <c r="J23" s="80"/>
      <c r="K23" s="80"/>
      <c r="L23" s="80"/>
      <c r="M23" s="80"/>
      <c r="N23" s="80"/>
      <c r="O23" s="80"/>
      <c r="P23" s="80"/>
      <c r="Q23" s="80"/>
      <c r="R23" s="80"/>
      <c r="S23" s="80"/>
      <c r="T23" s="80"/>
      <c r="U23" s="80"/>
      <c r="V23" s="80"/>
    </row>
    <row r="24" spans="1:22" ht="12.75">
      <c r="A24" s="81" t="s">
        <v>240</v>
      </c>
      <c r="B24" s="98" t="str">
        <f>VLOOKUP(A23,priortization!A:G,7,FALSE)</f>
        <v>7</v>
      </c>
      <c r="C24" s="85" t="e">
        <f>VLOOKUP(B24,#REF!,3)&amp;" size + Dur:"</f>
        <v>#REF!</v>
      </c>
      <c r="D24" s="114" t="e">
        <f>VLOOKUP(B24,#REF!,4)</f>
        <v>#REF!</v>
      </c>
      <c r="E24" s="116" t="s">
        <v>353</v>
      </c>
      <c r="F24" s="42"/>
      <c r="G24" s="42"/>
      <c r="H24" s="42"/>
      <c r="I24" s="42"/>
      <c r="J24" s="42"/>
      <c r="K24" s="42"/>
      <c r="L24" s="42"/>
      <c r="M24" s="42"/>
      <c r="N24" s="42"/>
      <c r="O24" s="42"/>
      <c r="P24" s="42"/>
      <c r="Q24" s="42"/>
      <c r="R24" s="42"/>
      <c r="S24" s="42"/>
      <c r="T24" s="42"/>
      <c r="U24" s="156"/>
      <c r="V24" s="158"/>
    </row>
    <row r="25" spans="1:22" ht="12.75">
      <c r="A25" s="81" t="s">
        <v>10</v>
      </c>
      <c r="B25" s="81" t="s">
        <v>4</v>
      </c>
      <c r="C25" s="166" t="s">
        <v>555</v>
      </c>
      <c r="D25" s="166" t="s">
        <v>576</v>
      </c>
      <c r="E25" s="81">
        <v>1</v>
      </c>
      <c r="F25" s="168" t="str">
        <f aca="true" t="shared" si="6" ref="F25:T25">E25+1</f>
        <v>2</v>
      </c>
      <c r="G25" s="168" t="str">
        <f t="shared" si="6"/>
        <v>3</v>
      </c>
      <c r="H25" s="168" t="str">
        <f t="shared" si="6"/>
        <v>4</v>
      </c>
      <c r="I25" s="168" t="str">
        <f t="shared" si="6"/>
        <v>5</v>
      </c>
      <c r="J25" s="168" t="str">
        <f t="shared" si="6"/>
        <v>6</v>
      </c>
      <c r="K25" s="168" t="str">
        <f t="shared" si="6"/>
        <v>7</v>
      </c>
      <c r="L25" s="168" t="str">
        <f t="shared" si="6"/>
        <v>8</v>
      </c>
      <c r="M25" s="168" t="str">
        <f t="shared" si="6"/>
        <v>9</v>
      </c>
      <c r="N25" s="168" t="str">
        <f t="shared" si="6"/>
        <v>10</v>
      </c>
      <c r="O25" s="168" t="str">
        <f t="shared" si="6"/>
        <v>11</v>
      </c>
      <c r="P25" s="168" t="str">
        <f t="shared" si="6"/>
        <v>12</v>
      </c>
      <c r="Q25" s="168" t="str">
        <f t="shared" si="6"/>
        <v>13</v>
      </c>
      <c r="R25" s="168" t="str">
        <f t="shared" si="6"/>
        <v>14</v>
      </c>
      <c r="S25" s="168" t="str">
        <f t="shared" si="6"/>
        <v>15</v>
      </c>
      <c r="T25" s="168" t="str">
        <f t="shared" si="6"/>
        <v>16</v>
      </c>
      <c r="U25" s="166" t="s">
        <v>580</v>
      </c>
      <c r="V25" s="166" t="s">
        <v>581</v>
      </c>
    </row>
    <row r="26" spans="1:22" ht="12.75">
      <c r="A26" s="123" t="s">
        <v>155</v>
      </c>
      <c r="B26" s="123" t="s">
        <v>578</v>
      </c>
      <c r="C26" s="169" t="s">
        <v>579</v>
      </c>
      <c r="D26" s="170">
        <v>0.4</v>
      </c>
      <c r="E26" s="174" t="e">
        <f>IF($G23="Y",0,IF(($E23&lt;E25),VLOOKUP($D24&amp;$C26,#REF!,E25-$E23+1,FALSE)*'resource-variables'!$C$2*$D26,0))</f>
        <v>#REF!</v>
      </c>
      <c r="F26" s="174" t="e">
        <f>IF($G23="Y",0,IF(($E23&lt;F25),VLOOKUP($D24&amp;$C26,#REF!,F25-$E23+1,FALSE)*'resource-variables'!$C$2*$D26,0))</f>
        <v>#REF!</v>
      </c>
      <c r="G26" s="174" t="e">
        <f>IF($G23="Y",0,IF(($E23&lt;G25),VLOOKUP($D24&amp;$C26,#REF!,G25-$E23+1,FALSE)*'resource-variables'!$C$2*$D26,0))</f>
        <v>#REF!</v>
      </c>
      <c r="H26" s="174" t="e">
        <f>IF($G23="Y",0,IF(($E23&lt;H25),VLOOKUP($D24&amp;$C26,#REF!,H25-$E23+1,FALSE)*'resource-variables'!$C$2*$D26,0))</f>
        <v>#REF!</v>
      </c>
      <c r="I26" s="174" t="e">
        <f>IF($G23="Y",0,IF(($E23&lt;I25),VLOOKUP($D24&amp;$C26,#REF!,I25-$E23+1,FALSE)*'resource-variables'!$C$2*$D26,0))</f>
        <v>#REF!</v>
      </c>
      <c r="J26" s="174" t="e">
        <f>IF($G23="Y",0,IF(($E23&lt;J25),VLOOKUP($D24&amp;$C26,#REF!,J25-$E23+1,FALSE)*'resource-variables'!$C$2*$D26,0))</f>
        <v>#REF!</v>
      </c>
      <c r="K26" s="174" t="e">
        <f>IF($G23="Y",0,IF(($E23&lt;K25),VLOOKUP($D24&amp;$C26,#REF!,K25-$E23+1,FALSE)*'resource-variables'!$C$2*$D26,0))</f>
        <v>#REF!</v>
      </c>
      <c r="L26" s="174" t="e">
        <f>IF($G23="Y",0,IF(($E23&lt;L25),VLOOKUP($D24&amp;$C26,#REF!,L25-$E23+1,FALSE)*'resource-variables'!$C$2*$D26,0))</f>
        <v>#REF!</v>
      </c>
      <c r="M26" s="174" t="e">
        <f>IF($G23="Y",0,IF(($E23&lt;M25),VLOOKUP($D24&amp;$C26,#REF!,M25-$E23+1,FALSE)*'resource-variables'!$C$2*$D26,0))</f>
        <v>#REF!</v>
      </c>
      <c r="N26" s="174" t="e">
        <f>IF($G23="Y",0,IF(($E23&lt;N25),VLOOKUP($D24&amp;$C26,#REF!,N25-$E23+1,FALSE)*'resource-variables'!$C$2*$D26,0))</f>
        <v>#REF!</v>
      </c>
      <c r="O26" s="174" t="e">
        <f>IF($G23="Y",0,IF(($E23&lt;O25),VLOOKUP($D24&amp;$C26,#REF!,O25-$E23+1,FALSE)*'resource-variables'!$C$2*$D26,0))</f>
        <v>#REF!</v>
      </c>
      <c r="P26" s="174" t="e">
        <f>IF($G23="Y",0,IF(($E23&lt;P25),VLOOKUP($D24&amp;$C26,#REF!,P25-$E23+1,FALSE)*'resource-variables'!$C$2*$D26,0))</f>
        <v>#REF!</v>
      </c>
      <c r="Q26" s="174" t="e">
        <f>IF($G23="Y",0,IF(($E23&lt;Q25),VLOOKUP($D24&amp;$C26,#REF!,Q25-$E23+1,FALSE)*'resource-variables'!$C$2*$D26,0))</f>
        <v>#REF!</v>
      </c>
      <c r="R26" s="174" t="e">
        <f>IF($G23="Y",0,IF(($E23&lt;R25),VLOOKUP($D24&amp;$C26,#REF!,R25-$E23+1,FALSE)*'resource-variables'!$C$2*$D26,0))</f>
        <v>#REF!</v>
      </c>
      <c r="S26" s="174" t="e">
        <f>IF($G23="Y",0,IF(($E23&lt;S25),VLOOKUP($D24&amp;$C26,#REF!,S25-$E23+1,FALSE)*'resource-variables'!$C$2*$D26,0))</f>
        <v>#REF!</v>
      </c>
      <c r="T26" s="174" t="e">
        <f>IF($G23="Y",0,IF(($E23&lt;T25),VLOOKUP($D24&amp;$C26,#REF!,T25-$E23+1,FALSE)*'resource-variables'!$C$2*$D26,0))</f>
        <v>#REF!</v>
      </c>
      <c r="U26" s="188" t="e">
        <f aca="true" t="shared" si="7" ref="U26:U32">SUM(E26:T26)</f>
        <v>#REF!</v>
      </c>
      <c r="V26" s="200" t="e">
        <f aca="true" t="shared" si="8" ref="V26:V32">U26*#REF!</f>
        <v>#REF!</v>
      </c>
    </row>
    <row r="27" spans="1:22" ht="12.75">
      <c r="A27" s="123" t="s">
        <v>582</v>
      </c>
      <c r="B27" s="123" t="s">
        <v>583</v>
      </c>
      <c r="C27" s="169" t="s">
        <v>584</v>
      </c>
      <c r="D27" s="170">
        <v>0.25</v>
      </c>
      <c r="E27" s="174" t="e">
        <f>IF($G23="Y",0,IF(($E23&lt;E25),VLOOKUP($D24&amp;$C27,#REF!,E25-$E23+1,FALSE)*'resource-variables'!$C$2*$D27,0))</f>
        <v>#REF!</v>
      </c>
      <c r="F27" s="174" t="e">
        <f>IF($G23="Y",0,IF(($E23&lt;F25),VLOOKUP($D24&amp;$C27,#REF!,F25-$E23+1,FALSE)*'resource-variables'!$C$2*$D27,0))</f>
        <v>#REF!</v>
      </c>
      <c r="G27" s="174" t="e">
        <f>IF($G23="Y",0,IF(($E23&lt;G25),VLOOKUP($D24&amp;$C27,#REF!,G25-$E23+1,FALSE)*'resource-variables'!$C$2*$D27,0))</f>
        <v>#REF!</v>
      </c>
      <c r="H27" s="174" t="e">
        <f>IF($G23="Y",0,IF(($E23&lt;H25),VLOOKUP($D24&amp;$C27,#REF!,H25-$E23+1,FALSE)*'resource-variables'!$C$2*$D27,0))</f>
        <v>#REF!</v>
      </c>
      <c r="I27" s="174" t="e">
        <f>IF($G23="Y",0,IF(($E23&lt;I25),VLOOKUP($D24&amp;$C27,#REF!,I25-$E23+1,FALSE)*'resource-variables'!$C$2*$D27,0))</f>
        <v>#REF!</v>
      </c>
      <c r="J27" s="174" t="e">
        <f>IF($G23="Y",0,IF(($E23&lt;J25),VLOOKUP($D24&amp;$C27,#REF!,J25-$E23+1,FALSE)*'resource-variables'!$C$2*$D27,0))</f>
        <v>#REF!</v>
      </c>
      <c r="K27" s="174" t="e">
        <f>IF($G23="Y",0,IF(($E23&lt;K25),VLOOKUP($D24&amp;$C27,#REF!,K25-$E23+1,FALSE)*'resource-variables'!$C$2*$D27,0))</f>
        <v>#REF!</v>
      </c>
      <c r="L27" s="174" t="e">
        <f>IF($G23="Y",0,IF(($E23&lt;L25),VLOOKUP($D24&amp;$C27,#REF!,L25-$E23+1,FALSE)*'resource-variables'!$C$2*$D27,0))</f>
        <v>#REF!</v>
      </c>
      <c r="M27" s="174" t="e">
        <f>IF($G23="Y",0,IF(($E23&lt;M25),VLOOKUP($D24&amp;$C27,#REF!,M25-$E23+1,FALSE)*'resource-variables'!$C$2*$D27,0))</f>
        <v>#REF!</v>
      </c>
      <c r="N27" s="174" t="e">
        <f>IF($G23="Y",0,IF(($E23&lt;N25),VLOOKUP($D24&amp;$C27,#REF!,N25-$E23+1,FALSE)*'resource-variables'!$C$2*$D27,0))</f>
        <v>#REF!</v>
      </c>
      <c r="O27" s="174" t="e">
        <f>IF($G23="Y",0,IF(($E23&lt;O25),VLOOKUP($D24&amp;$C27,#REF!,O25-$E23+1,FALSE)*'resource-variables'!$C$2*$D27,0))</f>
        <v>#REF!</v>
      </c>
      <c r="P27" s="174" t="e">
        <f>IF($G23="Y",0,IF(($E23&lt;P25),VLOOKUP($D24&amp;$C27,#REF!,P25-$E23+1,FALSE)*'resource-variables'!$C$2*$D27,0))</f>
        <v>#REF!</v>
      </c>
      <c r="Q27" s="174" t="e">
        <f>IF($G23="Y",0,IF(($E23&lt;Q25),VLOOKUP($D24&amp;$C27,#REF!,Q25-$E23+1,FALSE)*'resource-variables'!$C$2*$D27,0))</f>
        <v>#REF!</v>
      </c>
      <c r="R27" s="174" t="e">
        <f>IF($G23="Y",0,IF(($E23&lt;R25),VLOOKUP($D24&amp;$C27,#REF!,R25-$E23+1,FALSE)*'resource-variables'!$C$2*$D27,0))</f>
        <v>#REF!</v>
      </c>
      <c r="S27" s="174" t="e">
        <f>IF($G23="Y",0,IF(($E23&lt;S25),VLOOKUP($D24&amp;$C27,#REF!,S25-$E23+1,FALSE)*'resource-variables'!$C$2*$D27,0))</f>
        <v>#REF!</v>
      </c>
      <c r="T27" s="174" t="e">
        <f>IF($G23="Y",0,IF(($E23&lt;T25),VLOOKUP($D24&amp;$C27,#REF!,T25-$E23+1,FALSE)*'resource-variables'!$C$2*$D27,0))</f>
        <v>#REF!</v>
      </c>
      <c r="U27" s="188" t="e">
        <f t="shared" si="7"/>
        <v>#REF!</v>
      </c>
      <c r="V27" s="200" t="e">
        <f t="shared" si="8"/>
        <v>#REF!</v>
      </c>
    </row>
    <row r="28" spans="1:22" ht="12.75">
      <c r="A28" s="123" t="s">
        <v>585</v>
      </c>
      <c r="B28" s="123" t="s">
        <v>586</v>
      </c>
      <c r="C28" s="169" t="s">
        <v>584</v>
      </c>
      <c r="D28" s="170">
        <v>0</v>
      </c>
      <c r="E28" s="174" t="e">
        <f>IF($G23="Y",0,IF(($E23&lt;E25),VLOOKUP($D24&amp;$C28,#REF!,E25-$E23+1,FALSE)*'resource-variables'!$C$2*$D28,0))</f>
        <v>#REF!</v>
      </c>
      <c r="F28" s="174" t="e">
        <f>IF($G23="Y",0,IF(($E23&lt;F25),VLOOKUP($D24&amp;$C28,#REF!,F25-$E23+1,FALSE)*'resource-variables'!$C$2*$D28,0))</f>
        <v>#REF!</v>
      </c>
      <c r="G28" s="174" t="e">
        <f>IF($G23="Y",0,IF(($E23&lt;G25),VLOOKUP($D24&amp;$C28,#REF!,G25-$E23+1,FALSE)*'resource-variables'!$C$2*$D28,0))</f>
        <v>#REF!</v>
      </c>
      <c r="H28" s="174" t="e">
        <f>IF($G23="Y",0,IF(($E23&lt;H25),VLOOKUP($D24&amp;$C28,#REF!,H25-$E23+1,FALSE)*'resource-variables'!$C$2*$D28,0))</f>
        <v>#REF!</v>
      </c>
      <c r="I28" s="174" t="e">
        <f>IF($G23="Y",0,IF(($E23&lt;I25),VLOOKUP($D24&amp;$C28,#REF!,I25-$E23+1,FALSE)*'resource-variables'!$C$2*$D28,0))</f>
        <v>#REF!</v>
      </c>
      <c r="J28" s="174" t="e">
        <f>IF($G23="Y",0,IF(($E23&lt;J25),VLOOKUP($D24&amp;$C28,#REF!,J25-$E23+1,FALSE)*'resource-variables'!$C$2*$D28,0))</f>
        <v>#REF!</v>
      </c>
      <c r="K28" s="174" t="e">
        <f>IF($G23="Y",0,IF(($E23&lt;K25),VLOOKUP($D24&amp;$C28,#REF!,K25-$E23+1,FALSE)*'resource-variables'!$C$2*$D28,0))</f>
        <v>#REF!</v>
      </c>
      <c r="L28" s="174" t="e">
        <f>IF($G23="Y",0,IF(($E23&lt;L25),VLOOKUP($D24&amp;$C28,#REF!,L25-$E23+1,FALSE)*'resource-variables'!$C$2*$D28,0))</f>
        <v>#REF!</v>
      </c>
      <c r="M28" s="174" t="e">
        <f>IF($G23="Y",0,IF(($E23&lt;M25),VLOOKUP($D24&amp;$C28,#REF!,M25-$E23+1,FALSE)*'resource-variables'!$C$2*$D28,0))</f>
        <v>#REF!</v>
      </c>
      <c r="N28" s="174" t="e">
        <f>IF($G23="Y",0,IF(($E23&lt;N25),VLOOKUP($D24&amp;$C28,#REF!,N25-$E23+1,FALSE)*'resource-variables'!$C$2*$D28,0))</f>
        <v>#REF!</v>
      </c>
      <c r="O28" s="174" t="e">
        <f>IF($G23="Y",0,IF(($E23&lt;O25),VLOOKUP($D24&amp;$C28,#REF!,O25-$E23+1,FALSE)*'resource-variables'!$C$2*$D28,0))</f>
        <v>#REF!</v>
      </c>
      <c r="P28" s="174" t="e">
        <f>IF($G23="Y",0,IF(($E23&lt;P25),VLOOKUP($D24&amp;$C28,#REF!,P25-$E23+1,FALSE)*'resource-variables'!$C$2*$D28,0))</f>
        <v>#REF!</v>
      </c>
      <c r="Q28" s="174" t="e">
        <f>IF($G23="Y",0,IF(($E23&lt;Q25),VLOOKUP($D24&amp;$C28,#REF!,Q25-$E23+1,FALSE)*'resource-variables'!$C$2*$D28,0))</f>
        <v>#REF!</v>
      </c>
      <c r="R28" s="174" t="e">
        <f>IF($G23="Y",0,IF(($E23&lt;R25),VLOOKUP($D24&amp;$C28,#REF!,R25-$E23+1,FALSE)*'resource-variables'!$C$2*$D28,0))</f>
        <v>#REF!</v>
      </c>
      <c r="S28" s="174" t="e">
        <f>IF($G23="Y",0,IF(($E23&lt;S25),VLOOKUP($D24&amp;$C28,#REF!,S25-$E23+1,FALSE)*'resource-variables'!$C$2*$D28,0))</f>
        <v>#REF!</v>
      </c>
      <c r="T28" s="174" t="e">
        <f>IF($G23="Y",0,IF(($E23&lt;T25),VLOOKUP($D24&amp;$C28,#REF!,T25-$E23+1,FALSE)*'resource-variables'!$C$2*$D28,0))</f>
        <v>#REF!</v>
      </c>
      <c r="U28" s="188" t="e">
        <f t="shared" si="7"/>
        <v>#REF!</v>
      </c>
      <c r="V28" s="200" t="e">
        <f t="shared" si="8"/>
        <v>#REF!</v>
      </c>
    </row>
    <row r="29" spans="1:22" ht="12.75">
      <c r="A29" s="123" t="s">
        <v>588</v>
      </c>
      <c r="B29" s="123" t="s">
        <v>589</v>
      </c>
      <c r="C29" s="169" t="s">
        <v>590</v>
      </c>
      <c r="D29" s="170">
        <v>0.05</v>
      </c>
      <c r="E29" s="174" t="e">
        <f>IF($G23="Y",0,IF(($E23&lt;E25),VLOOKUP($D24&amp;$C29,#REF!,E25-$E23+1,FALSE)*'resource-variables'!$C$2*$D29,0))</f>
        <v>#REF!</v>
      </c>
      <c r="F29" s="174" t="e">
        <f>IF($G23="Y",0,IF(($E23&lt;F25),VLOOKUP($D24&amp;$C29,#REF!,F25-$E23+1,FALSE)*'resource-variables'!$C$2*$D29,0))</f>
        <v>#REF!</v>
      </c>
      <c r="G29" s="174" t="e">
        <f>IF($G23="Y",0,IF(($E23&lt;G25),VLOOKUP($D24&amp;$C29,#REF!,G25-$E23+1,FALSE)*'resource-variables'!$C$2*$D29,0))</f>
        <v>#REF!</v>
      </c>
      <c r="H29" s="174" t="e">
        <f>IF($G23="Y",0,IF(($E23&lt;H25),VLOOKUP($D24&amp;$C29,#REF!,H25-$E23+1,FALSE)*'resource-variables'!$C$2*$D29,0))</f>
        <v>#REF!</v>
      </c>
      <c r="I29" s="174" t="e">
        <f>IF($G23="Y",0,IF(($E23&lt;I25),VLOOKUP($D24&amp;$C29,#REF!,I25-$E23+1,FALSE)*'resource-variables'!$C$2*$D29,0))</f>
        <v>#REF!</v>
      </c>
      <c r="J29" s="174" t="e">
        <f>IF($G23="Y",0,IF(($E23&lt;J25),VLOOKUP($D24&amp;$C29,#REF!,J25-$E23+1,FALSE)*'resource-variables'!$C$2*$D29,0))</f>
        <v>#REF!</v>
      </c>
      <c r="K29" s="174" t="e">
        <f>IF($G23="Y",0,IF(($E23&lt;K25),VLOOKUP($D24&amp;$C29,#REF!,K25-$E23+1,FALSE)*'resource-variables'!$C$2*$D29,0))</f>
        <v>#REF!</v>
      </c>
      <c r="L29" s="174" t="e">
        <f>IF($G23="Y",0,IF(($E23&lt;L25),VLOOKUP($D24&amp;$C29,#REF!,L25-$E23+1,FALSE)*'resource-variables'!$C$2*$D29,0))</f>
        <v>#REF!</v>
      </c>
      <c r="M29" s="174" t="e">
        <f>IF($G23="Y",0,IF(($E23&lt;M25),VLOOKUP($D24&amp;$C29,#REF!,M25-$E23+1,FALSE)*'resource-variables'!$C$2*$D29,0))</f>
        <v>#REF!</v>
      </c>
      <c r="N29" s="174" t="e">
        <f>IF($G23="Y",0,IF(($E23&lt;N25),VLOOKUP($D24&amp;$C29,#REF!,N25-$E23+1,FALSE)*'resource-variables'!$C$2*$D29,0))</f>
        <v>#REF!</v>
      </c>
      <c r="O29" s="174" t="e">
        <f>IF($G23="Y",0,IF(($E23&lt;O25),VLOOKUP($D24&amp;$C29,#REF!,O25-$E23+1,FALSE)*'resource-variables'!$C$2*$D29,0))</f>
        <v>#REF!</v>
      </c>
      <c r="P29" s="174" t="e">
        <f>IF($G23="Y",0,IF(($E23&lt;P25),VLOOKUP($D24&amp;$C29,#REF!,P25-$E23+1,FALSE)*'resource-variables'!$C$2*$D29,0))</f>
        <v>#REF!</v>
      </c>
      <c r="Q29" s="174" t="e">
        <f>IF($G23="Y",0,IF(($E23&lt;Q25),VLOOKUP($D24&amp;$C29,#REF!,Q25-$E23+1,FALSE)*'resource-variables'!$C$2*$D29,0))</f>
        <v>#REF!</v>
      </c>
      <c r="R29" s="174" t="e">
        <f>IF($G23="Y",0,IF(($E23&lt;R25),VLOOKUP($D24&amp;$C29,#REF!,R25-$E23+1,FALSE)*'resource-variables'!$C$2*$D29,0))</f>
        <v>#REF!</v>
      </c>
      <c r="S29" s="174" t="e">
        <f>IF($G23="Y",0,IF(($E23&lt;S25),VLOOKUP($D24&amp;$C29,#REF!,S25-$E23+1,FALSE)*'resource-variables'!$C$2*$D29,0))</f>
        <v>#REF!</v>
      </c>
      <c r="T29" s="174" t="e">
        <f>IF($G23="Y",0,IF(($E23&lt;T25),VLOOKUP($D24&amp;$C29,#REF!,T25-$E23+1,FALSE)*'resource-variables'!$C$2*$D29,0))</f>
        <v>#REF!</v>
      </c>
      <c r="U29" s="188" t="e">
        <f t="shared" si="7"/>
        <v>#REF!</v>
      </c>
      <c r="V29" s="200" t="e">
        <f t="shared" si="8"/>
        <v>#REF!</v>
      </c>
    </row>
    <row r="30" spans="1:22" ht="12.75">
      <c r="A30" s="123" t="s">
        <v>256</v>
      </c>
      <c r="B30" s="123" t="s">
        <v>591</v>
      </c>
      <c r="C30" s="169" t="s">
        <v>592</v>
      </c>
      <c r="D30" s="170">
        <v>0.25</v>
      </c>
      <c r="E30" s="174" t="e">
        <f>IF($G23="Y",0,IF(($E23&lt;E25),VLOOKUP($D24&amp;$C30,#REF!,E25-$E23+1,FALSE)*'resource-variables'!$C$2*$D30,0))</f>
        <v>#REF!</v>
      </c>
      <c r="F30" s="174" t="e">
        <f>IF($G23="Y",0,IF(($E23&lt;F25),VLOOKUP($D24&amp;$C30,#REF!,F25-$E23+1,FALSE)*'resource-variables'!$C$2*$D30,0))</f>
        <v>#REF!</v>
      </c>
      <c r="G30" s="174" t="e">
        <f>IF($G23="Y",0,IF(($E23&lt;G25),VLOOKUP($D24&amp;$C30,#REF!,G25-$E23+1,FALSE)*'resource-variables'!$C$2*$D30,0))</f>
        <v>#REF!</v>
      </c>
      <c r="H30" s="174" t="e">
        <f>IF($G23="Y",0,IF(($E23&lt;H25),VLOOKUP($D24&amp;$C30,#REF!,H25-$E23+1,FALSE)*'resource-variables'!$C$2*$D30,0))</f>
        <v>#REF!</v>
      </c>
      <c r="I30" s="174" t="e">
        <f>IF($G23="Y",0,IF(($E23&lt;I25),VLOOKUP($D24&amp;$C30,#REF!,I25-$E23+1,FALSE)*'resource-variables'!$C$2*$D30,0))</f>
        <v>#REF!</v>
      </c>
      <c r="J30" s="174" t="e">
        <f>IF($G23="Y",0,IF(($E23&lt;J25),VLOOKUP($D24&amp;$C30,#REF!,J25-$E23+1,FALSE)*'resource-variables'!$C$2*$D30,0))</f>
        <v>#REF!</v>
      </c>
      <c r="K30" s="174" t="e">
        <f>IF($G23="Y",0,IF(($E23&lt;K25),VLOOKUP($D24&amp;$C30,#REF!,K25-$E23+1,FALSE)*'resource-variables'!$C$2*$D30,0))</f>
        <v>#REF!</v>
      </c>
      <c r="L30" s="174" t="e">
        <f>IF($G23="Y",0,IF(($E23&lt;L25),VLOOKUP($D24&amp;$C30,#REF!,L25-$E23+1,FALSE)*'resource-variables'!$C$2*$D30,0))</f>
        <v>#REF!</v>
      </c>
      <c r="M30" s="174" t="e">
        <f>IF($G23="Y",0,IF(($E23&lt;M25),VLOOKUP($D24&amp;$C30,#REF!,M25-$E23+1,FALSE)*'resource-variables'!$C$2*$D30,0))</f>
        <v>#REF!</v>
      </c>
      <c r="N30" s="174" t="e">
        <f>IF($G23="Y",0,IF(($E23&lt;N25),VLOOKUP($D24&amp;$C30,#REF!,N25-$E23+1,FALSE)*'resource-variables'!$C$2*$D30,0))</f>
        <v>#REF!</v>
      </c>
      <c r="O30" s="174" t="e">
        <f>IF($G23="Y",0,IF(($E23&lt;O25),VLOOKUP($D24&amp;$C30,#REF!,O25-$E23+1,FALSE)*'resource-variables'!$C$2*$D30,0))</f>
        <v>#REF!</v>
      </c>
      <c r="P30" s="174" t="e">
        <f>IF($G23="Y",0,IF(($E23&lt;P25),VLOOKUP($D24&amp;$C30,#REF!,P25-$E23+1,FALSE)*'resource-variables'!$C$2*$D30,0))</f>
        <v>#REF!</v>
      </c>
      <c r="Q30" s="174" t="e">
        <f>IF($G23="Y",0,IF(($E23&lt;Q25),VLOOKUP($D24&amp;$C30,#REF!,Q25-$E23+1,FALSE)*'resource-variables'!$C$2*$D30,0))</f>
        <v>#REF!</v>
      </c>
      <c r="R30" s="174" t="e">
        <f>IF($G23="Y",0,IF(($E23&lt;R25),VLOOKUP($D24&amp;$C30,#REF!,R25-$E23+1,FALSE)*'resource-variables'!$C$2*$D30,0))</f>
        <v>#REF!</v>
      </c>
      <c r="S30" s="174" t="e">
        <f>IF($G23="Y",0,IF(($E23&lt;S25),VLOOKUP($D24&amp;$C30,#REF!,S25-$E23+1,FALSE)*'resource-variables'!$C$2*$D30,0))</f>
        <v>#REF!</v>
      </c>
      <c r="T30" s="174" t="e">
        <f>IF($G23="Y",0,IF(($E23&lt;T25),VLOOKUP($D24&amp;$C30,#REF!,T25-$E23+1,FALSE)*'resource-variables'!$C$2*$D30,0))</f>
        <v>#REF!</v>
      </c>
      <c r="U30" s="188" t="e">
        <f t="shared" si="7"/>
        <v>#REF!</v>
      </c>
      <c r="V30" s="200" t="e">
        <f t="shared" si="8"/>
        <v>#REF!</v>
      </c>
    </row>
    <row r="31" spans="1:22" ht="12.75">
      <c r="A31" s="123" t="s">
        <v>594</v>
      </c>
      <c r="B31" s="123" t="s">
        <v>596</v>
      </c>
      <c r="C31" s="169" t="s">
        <v>592</v>
      </c>
      <c r="D31" s="170">
        <v>0.3</v>
      </c>
      <c r="E31" s="174" t="e">
        <f>IF($G23="Y",0,IF(($E23&lt;E25),VLOOKUP($D24&amp;$C31,#REF!,E25-$E23+1,FALSE)*'resource-variables'!$C$2*$D31,0))</f>
        <v>#REF!</v>
      </c>
      <c r="F31" s="174" t="e">
        <f>IF($G23="Y",0,IF(($E23&lt;F25),VLOOKUP($D24&amp;$C31,#REF!,F25-$E23+1,FALSE)*'resource-variables'!$C$2*$D31,0))</f>
        <v>#REF!</v>
      </c>
      <c r="G31" s="174" t="e">
        <f>IF($G23="Y",0,IF(($E23&lt;G25),VLOOKUP($D24&amp;$C31,#REF!,G25-$E23+1,FALSE)*'resource-variables'!$C$2*$D31,0))</f>
        <v>#REF!</v>
      </c>
      <c r="H31" s="174" t="e">
        <f>IF($G23="Y",0,IF(($E23&lt;H25),VLOOKUP($D24&amp;$C31,#REF!,H25-$E23+1,FALSE)*'resource-variables'!$C$2*$D31,0))</f>
        <v>#REF!</v>
      </c>
      <c r="I31" s="174" t="e">
        <f>IF($G23="Y",0,IF(($E23&lt;I25),VLOOKUP($D24&amp;$C31,#REF!,I25-$E23+1,FALSE)*'resource-variables'!$C$2*$D31,0))</f>
        <v>#REF!</v>
      </c>
      <c r="J31" s="174" t="e">
        <f>IF($G23="Y",0,IF(($E23&lt;J25),VLOOKUP($D24&amp;$C31,#REF!,J25-$E23+1,FALSE)*'resource-variables'!$C$2*$D31,0))</f>
        <v>#REF!</v>
      </c>
      <c r="K31" s="174" t="e">
        <f>IF($G23="Y",0,IF(($E23&lt;K25),VLOOKUP($D24&amp;$C31,#REF!,K25-$E23+1,FALSE)*'resource-variables'!$C$2*$D31,0))</f>
        <v>#REF!</v>
      </c>
      <c r="L31" s="174" t="e">
        <f>IF($G23="Y",0,IF(($E23&lt;L25),VLOOKUP($D24&amp;$C31,#REF!,L25-$E23+1,FALSE)*'resource-variables'!$C$2*$D31,0))</f>
        <v>#REF!</v>
      </c>
      <c r="M31" s="174" t="e">
        <f>IF($G23="Y",0,IF(($E23&lt;M25),VLOOKUP($D24&amp;$C31,#REF!,M25-$E23+1,FALSE)*'resource-variables'!$C$2*$D31,0))</f>
        <v>#REF!</v>
      </c>
      <c r="N31" s="174" t="e">
        <f>IF($G23="Y",0,IF(($E23&lt;N25),VLOOKUP($D24&amp;$C31,#REF!,N25-$E23+1,FALSE)*'resource-variables'!$C$2*$D31,0))</f>
        <v>#REF!</v>
      </c>
      <c r="O31" s="174" t="e">
        <f>IF($G23="Y",0,IF(($E23&lt;O25),VLOOKUP($D24&amp;$C31,#REF!,O25-$E23+1,FALSE)*'resource-variables'!$C$2*$D31,0))</f>
        <v>#REF!</v>
      </c>
      <c r="P31" s="174" t="e">
        <f>IF($G23="Y",0,IF(($E23&lt;P25),VLOOKUP($D24&amp;$C31,#REF!,P25-$E23+1,FALSE)*'resource-variables'!$C$2*$D31,0))</f>
        <v>#REF!</v>
      </c>
      <c r="Q31" s="174" t="e">
        <f>IF($G23="Y",0,IF(($E23&lt;Q25),VLOOKUP($D24&amp;$C31,#REF!,Q25-$E23+1,FALSE)*'resource-variables'!$C$2*$D31,0))</f>
        <v>#REF!</v>
      </c>
      <c r="R31" s="174" t="e">
        <f>IF($G23="Y",0,IF(($E23&lt;R25),VLOOKUP($D24&amp;$C31,#REF!,R25-$E23+1,FALSE)*'resource-variables'!$C$2*$D31,0))</f>
        <v>#REF!</v>
      </c>
      <c r="S31" s="174" t="e">
        <f>IF($G23="Y",0,IF(($E23&lt;S25),VLOOKUP($D24&amp;$C31,#REF!,S25-$E23+1,FALSE)*'resource-variables'!$C$2*$D31,0))</f>
        <v>#REF!</v>
      </c>
      <c r="T31" s="174" t="e">
        <f>IF($G23="Y",0,IF(($E23&lt;T25),VLOOKUP($D24&amp;$C31,#REF!,T25-$E23+1,FALSE)*'resource-variables'!$C$2*$D31,0))</f>
        <v>#REF!</v>
      </c>
      <c r="U31" s="188" t="e">
        <f t="shared" si="7"/>
        <v>#REF!</v>
      </c>
      <c r="V31" s="200" t="e">
        <f t="shared" si="8"/>
        <v>#REF!</v>
      </c>
    </row>
    <row r="32" spans="1:22" ht="12.75">
      <c r="A32" s="123" t="s">
        <v>527</v>
      </c>
      <c r="B32" s="123" t="s">
        <v>597</v>
      </c>
      <c r="C32" s="169" t="s">
        <v>590</v>
      </c>
      <c r="D32" s="170">
        <v>0.4</v>
      </c>
      <c r="E32" s="174" t="e">
        <f>IF($G23="Y",0,IF(($E23&lt;E25),VLOOKUP($D24&amp;$C32,#REF!,E25-$E23+1,FALSE)*'resource-variables'!$C$2*$D32,0))</f>
        <v>#REF!</v>
      </c>
      <c r="F32" s="174" t="e">
        <f>IF($G23="Y",0,IF(($E23&lt;F25),VLOOKUP($D24&amp;$C32,#REF!,F25-$E23+1,FALSE)*'resource-variables'!$C$2*$D32,0))</f>
        <v>#REF!</v>
      </c>
      <c r="G32" s="174" t="e">
        <f>IF($G23="Y",0,IF(($E23&lt;G25),VLOOKUP($D24&amp;$C32,#REF!,G25-$E23+1,FALSE)*'resource-variables'!$C$2*$D32,0))</f>
        <v>#REF!</v>
      </c>
      <c r="H32" s="174" t="e">
        <f>IF($G23="Y",0,IF(($E23&lt;H25),VLOOKUP($D24&amp;$C32,#REF!,H25-$E23+1,FALSE)*'resource-variables'!$C$2*$D32,0))</f>
        <v>#REF!</v>
      </c>
      <c r="I32" s="174" t="e">
        <f>IF($G23="Y",0,IF(($E23&lt;I25),VLOOKUP($D24&amp;$C32,#REF!,I25-$E23+1,FALSE)*'resource-variables'!$C$2*$D32,0))</f>
        <v>#REF!</v>
      </c>
      <c r="J32" s="174" t="e">
        <f>IF($G23="Y",0,IF(($E23&lt;J25),VLOOKUP($D24&amp;$C32,#REF!,J25-$E23+1,FALSE)*'resource-variables'!$C$2*$D32,0))</f>
        <v>#REF!</v>
      </c>
      <c r="K32" s="174" t="e">
        <f>IF($G23="Y",0,IF(($E23&lt;K25),VLOOKUP($D24&amp;$C32,#REF!,K25-$E23+1,FALSE)*'resource-variables'!$C$2*$D32,0))</f>
        <v>#REF!</v>
      </c>
      <c r="L32" s="174" t="e">
        <f>IF($G23="Y",0,IF(($E23&lt;L25),VLOOKUP($D24&amp;$C32,#REF!,L25-$E23+1,FALSE)*'resource-variables'!$C$2*$D32,0))</f>
        <v>#REF!</v>
      </c>
      <c r="M32" s="174" t="e">
        <f>IF($G23="Y",0,IF(($E23&lt;M25),VLOOKUP($D24&amp;$C32,#REF!,M25-$E23+1,FALSE)*'resource-variables'!$C$2*$D32,0))</f>
        <v>#REF!</v>
      </c>
      <c r="N32" s="174" t="e">
        <f>IF($G23="Y",0,IF(($E23&lt;N25),VLOOKUP($D24&amp;$C32,#REF!,N25-$E23+1,FALSE)*'resource-variables'!$C$2*$D32,0))</f>
        <v>#REF!</v>
      </c>
      <c r="O32" s="174" t="e">
        <f>IF($G23="Y",0,IF(($E23&lt;O25),VLOOKUP($D24&amp;$C32,#REF!,O25-$E23+1,FALSE)*'resource-variables'!$C$2*$D32,0))</f>
        <v>#REF!</v>
      </c>
      <c r="P32" s="174" t="e">
        <f>IF($G23="Y",0,IF(($E23&lt;P25),VLOOKUP($D24&amp;$C32,#REF!,P25-$E23+1,FALSE)*'resource-variables'!$C$2*$D32,0))</f>
        <v>#REF!</v>
      </c>
      <c r="Q32" s="174" t="e">
        <f>IF($G23="Y",0,IF(($E23&lt;Q25),VLOOKUP($D24&amp;$C32,#REF!,Q25-$E23+1,FALSE)*'resource-variables'!$C$2*$D32,0))</f>
        <v>#REF!</v>
      </c>
      <c r="R32" s="174" t="e">
        <f>IF($G23="Y",0,IF(($E23&lt;R25),VLOOKUP($D24&amp;$C32,#REF!,R25-$E23+1,FALSE)*'resource-variables'!$C$2*$D32,0))</f>
        <v>#REF!</v>
      </c>
      <c r="S32" s="174" t="e">
        <f>IF($G23="Y",0,IF(($E23&lt;S25),VLOOKUP($D24&amp;$C32,#REF!,S25-$E23+1,FALSE)*'resource-variables'!$C$2*$D32,0))</f>
        <v>#REF!</v>
      </c>
      <c r="T32" s="174" t="e">
        <f>IF($G23="Y",0,IF(($E23&lt;T25),VLOOKUP($D24&amp;$C32,#REF!,T25-$E23+1,FALSE)*'resource-variables'!$C$2*$D32,0))</f>
        <v>#REF!</v>
      </c>
      <c r="U32" s="188" t="e">
        <f t="shared" si="7"/>
        <v>#REF!</v>
      </c>
      <c r="V32" s="200" t="e">
        <f t="shared" si="8"/>
        <v>#REF!</v>
      </c>
    </row>
    <row r="33" spans="1:22" ht="12.75">
      <c r="A33" s="21"/>
      <c r="B33" s="21"/>
      <c r="C33" s="21"/>
      <c r="D33" s="21"/>
      <c r="E33" s="21"/>
      <c r="F33" s="21"/>
      <c r="G33" s="21"/>
      <c r="H33" s="21"/>
      <c r="I33" s="21"/>
      <c r="J33" s="21"/>
      <c r="K33" s="21"/>
      <c r="L33" s="21"/>
      <c r="M33" s="21"/>
      <c r="N33" s="21"/>
      <c r="O33" s="21"/>
      <c r="P33" s="21"/>
      <c r="Q33" s="21"/>
      <c r="R33" s="21"/>
      <c r="S33" s="21"/>
      <c r="T33" s="21"/>
      <c r="U33" s="21"/>
      <c r="V33" s="21"/>
    </row>
  </sheetData>
  <mergeCells count="6">
    <mergeCell ref="A1:C1"/>
    <mergeCell ref="E2:T2"/>
    <mergeCell ref="A12:C12"/>
    <mergeCell ref="E13:T13"/>
    <mergeCell ref="A23:C23"/>
    <mergeCell ref="E24:T24"/>
  </mergeCells>
  <dataValidations count="4">
    <dataValidation type="list" allowBlank="1" sqref="G1 G12 G23">
      <formula1>"N,Y"</formula1>
    </dataValidation>
    <dataValidation type="decimal" allowBlank="1" showErrorMessage="1" sqref="B2 B13 B24">
      <formula1>1</formula1>
      <formula2>10</formula2>
    </dataValidation>
    <dataValidation type="list" allowBlank="1" sqref="A1 A12 A23">
      <formula1>apm!$B$6:$B$42</formula1>
    </dataValidation>
    <dataValidation type="list" allowBlank="1" sqref="C4:C10 C15:C21 C26:C32">
      <formula1>"builds,constant,peaks,tapers"</formula1>
    </dataValidation>
  </dataValidation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N100"/>
  <sheetViews>
    <sheetView workbookViewId="0" topLeftCell="A1">
      <pane ySplit="1" topLeftCell="A2" activePane="bottomLeft" state="frozen"/>
      <selection pane="bottomLeft" activeCell="B3" sqref="B3"/>
    </sheetView>
  </sheetViews>
  <sheetFormatPr defaultColWidth="14.421875" defaultRowHeight="12.75" customHeight="1"/>
  <cols>
    <col min="1" max="1" width="12.140625" style="0" customWidth="1"/>
    <col min="2" max="2" width="8.140625" style="0" customWidth="1"/>
    <col min="3" max="3" width="14.140625" style="0" customWidth="1"/>
    <col min="4" max="4" width="12.421875" style="0" customWidth="1"/>
    <col min="5" max="5" width="13.8515625" style="0" customWidth="1"/>
    <col min="6" max="6" width="7.8515625" style="0" customWidth="1"/>
    <col min="7" max="7" width="7.7109375" style="0" customWidth="1"/>
    <col min="8" max="8" width="12.00390625" style="0" customWidth="1"/>
    <col min="9" max="9" width="14.140625" style="0" customWidth="1"/>
    <col min="10" max="10" width="29.28125" style="0" customWidth="1"/>
    <col min="11" max="11" width="8.140625" style="0" customWidth="1"/>
    <col min="12" max="12" width="9.00390625" style="0" customWidth="1"/>
    <col min="13" max="13" width="7.28125" style="0" customWidth="1"/>
    <col min="14" max="25" width="17.28125" style="0" customWidth="1"/>
  </cols>
  <sheetData>
    <row r="1" spans="1:14" ht="12.75">
      <c r="A1" s="8" t="s">
        <v>17</v>
      </c>
      <c r="B1" s="8" t="s">
        <v>24</v>
      </c>
      <c r="C1" s="8" t="s">
        <v>25</v>
      </c>
      <c r="D1" s="8" t="s">
        <v>26</v>
      </c>
      <c r="E1" s="8" t="s">
        <v>27</v>
      </c>
      <c r="F1" s="94" t="s">
        <v>28</v>
      </c>
      <c r="G1" s="8" t="s">
        <v>7</v>
      </c>
      <c r="H1" s="8" t="s">
        <v>290</v>
      </c>
      <c r="I1" s="8" t="s">
        <v>291</v>
      </c>
      <c r="J1" s="8" t="s">
        <v>292</v>
      </c>
      <c r="K1" s="8" t="s">
        <v>293</v>
      </c>
      <c r="L1" s="8" t="s">
        <v>294</v>
      </c>
      <c r="M1" s="8" t="s">
        <v>295</v>
      </c>
      <c r="N1" s="19"/>
    </row>
    <row r="2" spans="1:14" ht="12.75">
      <c r="A2" s="119" t="str">
        <f aca="true" t="shared" si="0" ref="A2:A12">C2-2*7</f>
        <v>12/18/2013</v>
      </c>
      <c r="B2" s="82" t="str">
        <f aca="true" t="shared" si="1" ref="B2:B12">F2-1</f>
        <v>193</v>
      </c>
      <c r="C2" s="119" t="str">
        <f aca="true" t="shared" si="2" ref="C2:C12">E2-(3*7)</f>
        <v>1/1/2014</v>
      </c>
      <c r="D2" s="8" t="s">
        <v>376</v>
      </c>
      <c r="E2" s="159">
        <v>41661</v>
      </c>
      <c r="F2" s="94" t="s">
        <v>556</v>
      </c>
      <c r="G2" s="82" t="str">
        <f aca="true" t="shared" si="3" ref="G2:G12">IF(E2&lt;=DATE(2014,3,31),"Q1",IF(E2&lt;=DATE(2014,6,30),"Q2",IF(E2&lt;=DATE(2014,9,30),"Q3","Q4")))</f>
        <v>Q1</v>
      </c>
      <c r="H2" s="5"/>
      <c r="I2" s="159">
        <v>41662</v>
      </c>
      <c r="J2" s="8" t="s">
        <v>568</v>
      </c>
      <c r="K2" s="5"/>
      <c r="L2" s="5"/>
      <c r="M2" s="5"/>
      <c r="N2" s="19"/>
    </row>
    <row r="3" spans="1:14" ht="12.75">
      <c r="A3" s="119" t="str">
        <f t="shared" si="0"/>
        <v>1/15/2014</v>
      </c>
      <c r="B3" s="82" t="str">
        <f t="shared" si="1"/>
        <v>195</v>
      </c>
      <c r="C3" s="119" t="str">
        <f t="shared" si="2"/>
        <v>1/29/2014</v>
      </c>
      <c r="D3" s="8" t="s">
        <v>376</v>
      </c>
      <c r="E3" s="159">
        <v>41689</v>
      </c>
      <c r="F3" s="163" t="str">
        <f aca="true" t="shared" si="4" ref="F3:F12">F2+2</f>
        <v>196</v>
      </c>
      <c r="G3" s="82" t="str">
        <f t="shared" si="3"/>
        <v>Q1</v>
      </c>
      <c r="H3" s="5"/>
      <c r="I3" s="159">
        <v>41690</v>
      </c>
      <c r="J3" s="8" t="s">
        <v>568</v>
      </c>
      <c r="K3" s="5"/>
      <c r="L3" s="5"/>
      <c r="M3" s="5"/>
      <c r="N3" s="19"/>
    </row>
    <row r="4" spans="1:14" ht="12.75">
      <c r="A4" s="119" t="str">
        <f t="shared" si="0"/>
        <v>2/12/2014</v>
      </c>
      <c r="B4" s="82" t="str">
        <f t="shared" si="1"/>
        <v>197</v>
      </c>
      <c r="C4" s="119" t="str">
        <f t="shared" si="2"/>
        <v>2/26/2014</v>
      </c>
      <c r="D4" s="159">
        <v>41698</v>
      </c>
      <c r="E4" s="159">
        <v>41717</v>
      </c>
      <c r="F4" s="163" t="str">
        <f t="shared" si="4"/>
        <v>198</v>
      </c>
      <c r="G4" s="82" t="str">
        <f t="shared" si="3"/>
        <v>Q1</v>
      </c>
      <c r="H4" s="5"/>
      <c r="I4" s="159">
        <v>41723</v>
      </c>
      <c r="J4" s="8" t="s">
        <v>571</v>
      </c>
      <c r="K4" s="8">
        <v>11</v>
      </c>
      <c r="L4" s="8">
        <v>29</v>
      </c>
      <c r="M4" s="8">
        <v>33</v>
      </c>
      <c r="N4" s="19"/>
    </row>
    <row r="5" spans="1:14" ht="12.75">
      <c r="A5" s="119" t="str">
        <f t="shared" si="0"/>
        <v>3/12/2014</v>
      </c>
      <c r="B5" s="82" t="str">
        <f t="shared" si="1"/>
        <v>199</v>
      </c>
      <c r="C5" s="119" t="str">
        <f t="shared" si="2"/>
        <v>3/26/2014</v>
      </c>
      <c r="D5" s="5"/>
      <c r="E5" s="159">
        <v>41745</v>
      </c>
      <c r="F5" s="163" t="str">
        <f t="shared" si="4"/>
        <v>200</v>
      </c>
      <c r="G5" s="82" t="str">
        <f t="shared" si="3"/>
        <v>Q2</v>
      </c>
      <c r="H5" s="5"/>
      <c r="I5" s="159">
        <v>41752</v>
      </c>
      <c r="J5" s="5"/>
      <c r="K5" s="8">
        <v>8</v>
      </c>
      <c r="L5" s="8">
        <v>49</v>
      </c>
      <c r="M5" s="8">
        <v>10</v>
      </c>
      <c r="N5" s="19"/>
    </row>
    <row r="6" spans="1:14" ht="12.75">
      <c r="A6" s="119" t="str">
        <f t="shared" si="0"/>
        <v>4/16/2014</v>
      </c>
      <c r="B6" s="82" t="str">
        <f t="shared" si="1"/>
        <v>201</v>
      </c>
      <c r="C6" s="119" t="str">
        <f t="shared" si="2"/>
        <v>4/30/2014</v>
      </c>
      <c r="D6" s="5"/>
      <c r="E6" s="159">
        <v>41780</v>
      </c>
      <c r="F6" s="163" t="str">
        <f t="shared" si="4"/>
        <v>202</v>
      </c>
      <c r="G6" s="82" t="str">
        <f t="shared" si="3"/>
        <v>Q2</v>
      </c>
      <c r="H6" s="8">
        <v>5</v>
      </c>
      <c r="I6" s="159">
        <v>41778</v>
      </c>
      <c r="J6" s="8" t="s">
        <v>575</v>
      </c>
      <c r="K6" s="8">
        <v>41</v>
      </c>
      <c r="L6" s="8">
        <v>90</v>
      </c>
      <c r="M6" s="8">
        <v>15</v>
      </c>
      <c r="N6" s="19"/>
    </row>
    <row r="7" spans="1:14" ht="12.75">
      <c r="A7" s="119" t="str">
        <f t="shared" si="0"/>
        <v>5/14/2014</v>
      </c>
      <c r="B7" s="82" t="str">
        <f t="shared" si="1"/>
        <v>203</v>
      </c>
      <c r="C7" s="119" t="str">
        <f t="shared" si="2"/>
        <v>5/28/2014</v>
      </c>
      <c r="D7" s="5"/>
      <c r="E7" s="159">
        <v>41808</v>
      </c>
      <c r="F7" s="163" t="str">
        <f t="shared" si="4"/>
        <v>204</v>
      </c>
      <c r="G7" s="82" t="str">
        <f t="shared" si="3"/>
        <v>Q2</v>
      </c>
      <c r="H7" s="8">
        <v>3</v>
      </c>
      <c r="I7" s="159">
        <v>41816</v>
      </c>
      <c r="J7" s="8" t="s">
        <v>577</v>
      </c>
      <c r="K7" s="8">
        <v>29</v>
      </c>
      <c r="L7" s="8">
        <v>53</v>
      </c>
      <c r="M7" s="8">
        <v>12</v>
      </c>
      <c r="N7" s="19"/>
    </row>
    <row r="8" spans="1:14" ht="12.75">
      <c r="A8" s="119" t="str">
        <f t="shared" si="0"/>
        <v>6/11/2014</v>
      </c>
      <c r="B8" s="82" t="str">
        <f t="shared" si="1"/>
        <v>205</v>
      </c>
      <c r="C8" s="119" t="str">
        <f t="shared" si="2"/>
        <v>6/25/2014</v>
      </c>
      <c r="D8" s="5"/>
      <c r="E8" s="159">
        <v>41836</v>
      </c>
      <c r="F8" s="163" t="str">
        <f t="shared" si="4"/>
        <v>206</v>
      </c>
      <c r="G8" s="82" t="str">
        <f t="shared" si="3"/>
        <v>Q3</v>
      </c>
      <c r="H8" s="5"/>
      <c r="I8" s="5"/>
      <c r="J8" s="5"/>
      <c r="K8" s="8">
        <v>16</v>
      </c>
      <c r="L8" s="8">
        <v>47</v>
      </c>
      <c r="M8" s="8">
        <v>10</v>
      </c>
      <c r="N8" s="19"/>
    </row>
    <row r="9" spans="1:14" ht="12.75">
      <c r="A9" s="119" t="str">
        <f t="shared" si="0"/>
        <v>7/16/2014</v>
      </c>
      <c r="B9" s="82" t="str">
        <f t="shared" si="1"/>
        <v>207</v>
      </c>
      <c r="C9" s="119" t="str">
        <f t="shared" si="2"/>
        <v>7/30/2014</v>
      </c>
      <c r="D9" s="5"/>
      <c r="E9" s="159">
        <v>41871</v>
      </c>
      <c r="F9" s="163" t="str">
        <f t="shared" si="4"/>
        <v>208</v>
      </c>
      <c r="G9" s="82" t="str">
        <f t="shared" si="3"/>
        <v>Q3</v>
      </c>
      <c r="H9" s="5"/>
      <c r="I9" s="5"/>
      <c r="J9" s="5"/>
      <c r="K9" s="5"/>
      <c r="L9" s="5"/>
      <c r="M9" s="5"/>
      <c r="N9" s="19"/>
    </row>
    <row r="10" spans="1:14" ht="12.75">
      <c r="A10" s="119" t="str">
        <f t="shared" si="0"/>
        <v>8/13/2014</v>
      </c>
      <c r="B10" s="82" t="str">
        <f t="shared" si="1"/>
        <v>209</v>
      </c>
      <c r="C10" s="119" t="str">
        <f t="shared" si="2"/>
        <v>8/27/2014</v>
      </c>
      <c r="D10" s="5"/>
      <c r="E10" s="159">
        <v>41899</v>
      </c>
      <c r="F10" s="163" t="str">
        <f t="shared" si="4"/>
        <v>210</v>
      </c>
      <c r="G10" s="82" t="str">
        <f t="shared" si="3"/>
        <v>Q3</v>
      </c>
      <c r="H10" s="5"/>
      <c r="I10" s="5"/>
      <c r="J10" s="5"/>
      <c r="K10" s="5"/>
      <c r="L10" s="5"/>
      <c r="M10" s="5"/>
      <c r="N10" s="19"/>
    </row>
    <row r="11" spans="1:14" ht="12.75">
      <c r="A11" s="119" t="str">
        <f t="shared" si="0"/>
        <v>9/10/2014</v>
      </c>
      <c r="B11" s="82" t="str">
        <f t="shared" si="1"/>
        <v>211</v>
      </c>
      <c r="C11" s="119" t="str">
        <f t="shared" si="2"/>
        <v>9/24/2014</v>
      </c>
      <c r="D11" s="5"/>
      <c r="E11" s="159">
        <v>41927</v>
      </c>
      <c r="F11" s="163" t="str">
        <f t="shared" si="4"/>
        <v>212</v>
      </c>
      <c r="G11" s="82" t="str">
        <f t="shared" si="3"/>
        <v>Q4</v>
      </c>
      <c r="H11" s="5"/>
      <c r="I11" s="5"/>
      <c r="J11" s="5"/>
      <c r="K11" s="5"/>
      <c r="L11" s="5"/>
      <c r="M11" s="5"/>
      <c r="N11" s="19"/>
    </row>
    <row r="12" spans="1:14" ht="12.75">
      <c r="A12" s="119" t="str">
        <f t="shared" si="0"/>
        <v>10/8/2014</v>
      </c>
      <c r="B12" s="82" t="str">
        <f t="shared" si="1"/>
        <v>213</v>
      </c>
      <c r="C12" s="119" t="str">
        <f t="shared" si="2"/>
        <v>10/22/2014</v>
      </c>
      <c r="D12" s="5"/>
      <c r="E12" s="159">
        <v>41955</v>
      </c>
      <c r="F12" s="163" t="str">
        <f t="shared" si="4"/>
        <v>214</v>
      </c>
      <c r="G12" s="82" t="str">
        <f t="shared" si="3"/>
        <v>Q4</v>
      </c>
      <c r="H12" s="5"/>
      <c r="I12" s="5"/>
      <c r="J12" s="5"/>
      <c r="K12" s="5"/>
      <c r="L12" s="5"/>
      <c r="M12" s="5"/>
      <c r="N12" s="19"/>
    </row>
    <row r="13" spans="1:13" ht="12.75">
      <c r="A13" s="21"/>
      <c r="B13" s="21"/>
      <c r="C13" s="21"/>
      <c r="D13" s="21"/>
      <c r="E13" s="21"/>
      <c r="F13" s="172"/>
      <c r="G13" s="21"/>
      <c r="H13" s="21"/>
      <c r="I13" s="21"/>
      <c r="J13" s="21"/>
      <c r="K13" s="21"/>
      <c r="L13" s="21"/>
      <c r="M13" s="21"/>
    </row>
    <row r="14" ht="12.75">
      <c r="F14" s="127"/>
    </row>
    <row r="15" ht="12.75">
      <c r="F15" s="127"/>
    </row>
    <row r="16" ht="12.75">
      <c r="F16" s="127"/>
    </row>
    <row r="17" ht="12.75">
      <c r="F17" s="127"/>
    </row>
    <row r="18" ht="12.75">
      <c r="F18" s="127"/>
    </row>
    <row r="19" ht="12.75">
      <c r="F19" s="127"/>
    </row>
    <row r="20" ht="12.75">
      <c r="F20" s="127"/>
    </row>
    <row r="21" ht="12.75">
      <c r="F21" s="127"/>
    </row>
    <row r="22" ht="12.75">
      <c r="F22" s="127"/>
    </row>
    <row r="23" ht="12.75">
      <c r="F23" s="127"/>
    </row>
    <row r="24" ht="12.75">
      <c r="F24" s="127"/>
    </row>
    <row r="25" ht="12.75">
      <c r="F25" s="127"/>
    </row>
    <row r="26" ht="12.75">
      <c r="F26" s="127"/>
    </row>
    <row r="27" ht="12.75">
      <c r="F27" s="127"/>
    </row>
    <row r="28" ht="12.75">
      <c r="F28" s="127"/>
    </row>
    <row r="29" ht="12.75">
      <c r="F29" s="127"/>
    </row>
    <row r="30" ht="12.75">
      <c r="F30" s="127"/>
    </row>
    <row r="31" ht="12.75">
      <c r="F31" s="127"/>
    </row>
    <row r="32" ht="12.75">
      <c r="F32" s="127"/>
    </row>
    <row r="33" ht="12.75">
      <c r="F33" s="127"/>
    </row>
    <row r="34" ht="12.75">
      <c r="F34" s="127"/>
    </row>
    <row r="35" ht="12.75">
      <c r="F35" s="127"/>
    </row>
    <row r="36" ht="12.75">
      <c r="F36" s="127"/>
    </row>
    <row r="37" ht="12.75">
      <c r="F37" s="127"/>
    </row>
    <row r="38" ht="12.75">
      <c r="F38" s="127"/>
    </row>
    <row r="39" ht="12.75">
      <c r="F39" s="127"/>
    </row>
    <row r="40" ht="12.75">
      <c r="F40" s="127"/>
    </row>
    <row r="41" ht="12.75">
      <c r="F41" s="127"/>
    </row>
    <row r="42" ht="12.75">
      <c r="F42" s="127"/>
    </row>
    <row r="43" ht="12.75">
      <c r="F43" s="127"/>
    </row>
    <row r="44" ht="12.75">
      <c r="F44" s="127"/>
    </row>
    <row r="45" ht="12.75">
      <c r="F45" s="127"/>
    </row>
    <row r="46" ht="12.75">
      <c r="F46" s="127"/>
    </row>
    <row r="47" ht="12.75">
      <c r="F47" s="127"/>
    </row>
    <row r="48" ht="12.75">
      <c r="F48" s="127"/>
    </row>
    <row r="49" ht="12.75">
      <c r="F49" s="127"/>
    </row>
    <row r="50" ht="12.75">
      <c r="F50" s="127"/>
    </row>
    <row r="51" ht="12.75">
      <c r="F51" s="127"/>
    </row>
    <row r="52" ht="12.75">
      <c r="F52" s="127"/>
    </row>
    <row r="53" ht="12.75">
      <c r="F53" s="127"/>
    </row>
    <row r="54" ht="12.75">
      <c r="F54" s="127"/>
    </row>
    <row r="55" ht="12.75">
      <c r="F55" s="127"/>
    </row>
    <row r="56" ht="12.75">
      <c r="F56" s="127"/>
    </row>
    <row r="57" ht="12.75">
      <c r="F57" s="127"/>
    </row>
    <row r="58" ht="12.75">
      <c r="F58" s="127"/>
    </row>
    <row r="59" ht="12.75">
      <c r="F59" s="127"/>
    </row>
    <row r="60" ht="12.75">
      <c r="F60" s="127"/>
    </row>
    <row r="61" ht="12.75">
      <c r="F61" s="127"/>
    </row>
    <row r="62" ht="12.75">
      <c r="F62" s="127"/>
    </row>
    <row r="63" ht="12.75">
      <c r="F63" s="127"/>
    </row>
    <row r="64" ht="12.75">
      <c r="F64" s="127"/>
    </row>
    <row r="65" ht="12.75">
      <c r="F65" s="127"/>
    </row>
    <row r="66" ht="12.75">
      <c r="F66" s="127"/>
    </row>
    <row r="67" ht="12.75">
      <c r="F67" s="127"/>
    </row>
    <row r="68" ht="12.75">
      <c r="F68" s="127"/>
    </row>
    <row r="69" ht="12.75">
      <c r="F69" s="127"/>
    </row>
    <row r="70" ht="12.75">
      <c r="F70" s="127"/>
    </row>
    <row r="71" ht="12.75">
      <c r="F71" s="127"/>
    </row>
    <row r="72" ht="12.75">
      <c r="F72" s="127"/>
    </row>
    <row r="73" ht="12.75">
      <c r="F73" s="127"/>
    </row>
    <row r="74" ht="12.75">
      <c r="F74" s="127"/>
    </row>
    <row r="75" ht="12.75">
      <c r="F75" s="127"/>
    </row>
    <row r="76" ht="12.75">
      <c r="F76" s="127"/>
    </row>
    <row r="77" ht="12.75">
      <c r="F77" s="127"/>
    </row>
    <row r="78" ht="12.75">
      <c r="F78" s="127"/>
    </row>
    <row r="79" ht="12.75">
      <c r="F79" s="127"/>
    </row>
    <row r="80" ht="12.75">
      <c r="F80" s="127"/>
    </row>
    <row r="81" ht="12.75">
      <c r="F81" s="127"/>
    </row>
    <row r="82" ht="12.75">
      <c r="F82" s="127"/>
    </row>
    <row r="83" ht="12.75">
      <c r="F83" s="127"/>
    </row>
    <row r="84" ht="12.75">
      <c r="F84" s="127"/>
    </row>
    <row r="85" ht="12.75">
      <c r="F85" s="127"/>
    </row>
    <row r="86" ht="12.75">
      <c r="F86" s="127"/>
    </row>
    <row r="87" ht="12.75">
      <c r="F87" s="127"/>
    </row>
    <row r="88" ht="12.75">
      <c r="F88" s="127"/>
    </row>
    <row r="89" ht="12.75">
      <c r="F89" s="127"/>
    </row>
    <row r="90" ht="12.75">
      <c r="F90" s="127"/>
    </row>
    <row r="91" ht="12.75">
      <c r="F91" s="127"/>
    </row>
    <row r="92" ht="12.75">
      <c r="F92" s="127"/>
    </row>
    <row r="93" ht="12.75">
      <c r="F93" s="127"/>
    </row>
    <row r="94" ht="12.75">
      <c r="F94" s="127"/>
    </row>
    <row r="95" ht="12.75">
      <c r="F95" s="127"/>
    </row>
    <row r="96" ht="12.75">
      <c r="F96" s="127"/>
    </row>
    <row r="97" ht="12.75">
      <c r="F97" s="127"/>
    </row>
    <row r="98" ht="12.75">
      <c r="F98" s="127"/>
    </row>
    <row r="99" ht="12.75">
      <c r="F99" s="127"/>
    </row>
    <row r="100" ht="12.75">
      <c r="F100" s="127"/>
    </row>
  </sheetData>
  <printOptions/>
  <pageMargins left="0.75" right="0.75" top="1" bottom="1" header="0.5" footer="0.5"/>
  <pageSetup orientation="portrait" paperSize="9"/>
  <legacyDrawing r:id="rId2"/>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T50"/>
  <sheetViews>
    <sheetView workbookViewId="0" topLeftCell="A1">
      <pane ySplit="1" topLeftCell="A2" activePane="bottomLeft" state="frozen"/>
      <selection pane="bottomLeft" activeCell="B3" sqref="B3"/>
    </sheetView>
  </sheetViews>
  <sheetFormatPr defaultColWidth="14.421875" defaultRowHeight="12.75" customHeight="1"/>
  <cols>
    <col min="1" max="1" width="54.8515625" style="0" customWidth="1"/>
    <col min="2" max="2" width="6.8515625" style="0" customWidth="1"/>
    <col min="3" max="3" width="8.00390625" style="0" customWidth="1"/>
    <col min="4" max="4" width="7.7109375" style="0" customWidth="1"/>
    <col min="5" max="5" width="26.421875" style="0" customWidth="1"/>
    <col min="6" max="6" width="9.00390625" style="0" customWidth="1"/>
    <col min="7" max="7" width="7.421875" style="0" customWidth="1"/>
    <col min="8" max="20" width="17.28125" style="0" customWidth="1"/>
  </cols>
  <sheetData>
    <row r="1" spans="1:20" ht="12.75">
      <c r="A1" s="3" t="s">
        <v>18</v>
      </c>
      <c r="B1" s="3" t="s">
        <v>19</v>
      </c>
      <c r="C1" s="3" t="s">
        <v>20</v>
      </c>
      <c r="D1" s="3" t="s">
        <v>21</v>
      </c>
      <c r="E1" s="10"/>
      <c r="F1" s="10"/>
      <c r="G1" s="10"/>
      <c r="H1" s="10"/>
      <c r="I1" s="10"/>
      <c r="J1" s="10"/>
      <c r="K1" s="10"/>
      <c r="L1" s="10"/>
      <c r="M1" s="10"/>
      <c r="N1" s="10"/>
      <c r="O1" s="10"/>
      <c r="P1" s="10"/>
      <c r="Q1" s="10"/>
      <c r="R1" s="10"/>
      <c r="S1" s="10"/>
      <c r="T1" s="10"/>
    </row>
    <row r="2" spans="1:7" ht="12.75">
      <c r="A2" s="109" t="str">
        <f>HYPERLINK("https://docs.google.com/file/d/0B8aL7M45OFh_YVJTM1dFODdlSGM/edit?usp=sharing","Mobile Site Global Rollout, Wave 3")</f>
        <v>Mobile Site Global Rollout, Wave 3</v>
      </c>
      <c r="B2" s="35" t="e">
        <f aca="true" t="shared" si="0" ref="B2:B50">IF(ISNA(VLOOKUP(A2,#REF!,10,FALSE)),IF(ISNA(VLOOKUP(A2,#REF!,10,FALSE)),"Fill in.",VLOOKUP(A2,#REF!,10,FALSE)),VLOOKUP(A2,#REF!,10,FALSE))</f>
        <v>#REF!</v>
      </c>
      <c r="C2" s="13" t="s">
        <v>96</v>
      </c>
      <c r="D2" s="35" t="e">
        <f aca="true" t="shared" si="1" ref="D2:D50">IF(OR(C2="Fill in.",C2=""),"Get Size",VLOOKUP(C2,#REF!,4,FALSE))</f>
        <v>#REF!</v>
      </c>
      <c r="E2" s="35" t="e">
        <f aca="true" t="shared" si="2" ref="E2:E3">A2&amp;" ("&amp;C2&amp;"="&amp;D2&amp;")"</f>
        <v>#REF!</v>
      </c>
      <c r="F2" s="105"/>
      <c r="G2" s="13" t="s">
        <v>330</v>
      </c>
    </row>
    <row r="3" spans="1:5" ht="12.75">
      <c r="A3" s="109" t="str">
        <f>HYPERLINK("https://docs.google.com/document/d/104GcuVdpqyDEPBnIM6O3BJ3LnmQSmcQ6UNyl5T6XgMk/edit?usp=sharing","ShoeFinder")</f>
        <v>ShoeFinder</v>
      </c>
      <c r="B3" s="35" t="e">
        <f t="shared" si="0"/>
        <v>#REF!</v>
      </c>
      <c r="C3" s="13" t="s">
        <v>350</v>
      </c>
      <c r="D3" s="35" t="e">
        <f t="shared" si="1"/>
        <v>#REF!</v>
      </c>
      <c r="E3" s="35" t="e">
        <f t="shared" si="2"/>
        <v>#REF!</v>
      </c>
    </row>
    <row r="4" spans="2:4" ht="12.75">
      <c r="B4" s="35" t="e">
        <f t="shared" si="0"/>
        <v>#REF!</v>
      </c>
      <c r="C4" s="35" t="e">
        <f aca="true" t="shared" si="3" ref="C4:C50">IF(ISNA(VLOOKUP(A4,#REF!,4,FALSE)),IF(ISNA(VLOOKUP(A4,#REF!,4,FALSE)),"Fill in.",VLOOKUP(A4,#REF!,4,FALSE)),VLOOKUP(A4,#REF!,4,FALSE))</f>
        <v>#REF!</v>
      </c>
      <c r="D4" s="35" t="e">
        <f t="shared" si="1"/>
        <v>#REF!</v>
      </c>
    </row>
    <row r="5" spans="2:4" ht="12.75">
      <c r="B5" s="35" t="e">
        <f t="shared" si="0"/>
        <v>#REF!</v>
      </c>
      <c r="C5" s="35" t="e">
        <f t="shared" si="3"/>
        <v>#REF!</v>
      </c>
      <c r="D5" s="35" t="e">
        <f t="shared" si="1"/>
        <v>#REF!</v>
      </c>
    </row>
    <row r="6" spans="2:4" ht="12.75">
      <c r="B6" s="35" t="e">
        <f t="shared" si="0"/>
        <v>#REF!</v>
      </c>
      <c r="C6" s="35" t="e">
        <f t="shared" si="3"/>
        <v>#REF!</v>
      </c>
      <c r="D6" s="35" t="e">
        <f t="shared" si="1"/>
        <v>#REF!</v>
      </c>
    </row>
    <row r="7" spans="2:4" ht="12.75">
      <c r="B7" s="35" t="e">
        <f t="shared" si="0"/>
        <v>#REF!</v>
      </c>
      <c r="C7" s="35" t="e">
        <f t="shared" si="3"/>
        <v>#REF!</v>
      </c>
      <c r="D7" s="35" t="e">
        <f t="shared" si="1"/>
        <v>#REF!</v>
      </c>
    </row>
    <row r="8" spans="2:4" ht="12.75">
      <c r="B8" s="35" t="e">
        <f t="shared" si="0"/>
        <v>#REF!</v>
      </c>
      <c r="C8" s="35" t="e">
        <f t="shared" si="3"/>
        <v>#REF!</v>
      </c>
      <c r="D8" s="35" t="e">
        <f t="shared" si="1"/>
        <v>#REF!</v>
      </c>
    </row>
    <row r="9" spans="2:4" ht="12.75">
      <c r="B9" s="35" t="e">
        <f t="shared" si="0"/>
        <v>#REF!</v>
      </c>
      <c r="C9" s="35" t="e">
        <f t="shared" si="3"/>
        <v>#REF!</v>
      </c>
      <c r="D9" s="35" t="e">
        <f t="shared" si="1"/>
        <v>#REF!</v>
      </c>
    </row>
    <row r="10" spans="2:4" ht="12.75">
      <c r="B10" s="35" t="e">
        <f t="shared" si="0"/>
        <v>#REF!</v>
      </c>
      <c r="C10" s="35" t="e">
        <f t="shared" si="3"/>
        <v>#REF!</v>
      </c>
      <c r="D10" s="35" t="e">
        <f t="shared" si="1"/>
        <v>#REF!</v>
      </c>
    </row>
    <row r="11" spans="2:4" ht="12.75">
      <c r="B11" s="35" t="e">
        <f t="shared" si="0"/>
        <v>#REF!</v>
      </c>
      <c r="C11" s="35" t="e">
        <f t="shared" si="3"/>
        <v>#REF!</v>
      </c>
      <c r="D11" s="35" t="e">
        <f t="shared" si="1"/>
        <v>#REF!</v>
      </c>
    </row>
    <row r="12" spans="2:4" ht="12.75">
      <c r="B12" s="35" t="e">
        <f t="shared" si="0"/>
        <v>#REF!</v>
      </c>
      <c r="C12" s="35" t="e">
        <f t="shared" si="3"/>
        <v>#REF!</v>
      </c>
      <c r="D12" s="35" t="e">
        <f t="shared" si="1"/>
        <v>#REF!</v>
      </c>
    </row>
    <row r="13" spans="2:4" ht="12.75">
      <c r="B13" s="35" t="e">
        <f t="shared" si="0"/>
        <v>#REF!</v>
      </c>
      <c r="C13" s="35" t="e">
        <f t="shared" si="3"/>
        <v>#REF!</v>
      </c>
      <c r="D13" s="35" t="e">
        <f t="shared" si="1"/>
        <v>#REF!</v>
      </c>
    </row>
    <row r="14" spans="2:4" ht="12.75">
      <c r="B14" s="35" t="e">
        <f t="shared" si="0"/>
        <v>#REF!</v>
      </c>
      <c r="C14" s="35" t="e">
        <f t="shared" si="3"/>
        <v>#REF!</v>
      </c>
      <c r="D14" s="35" t="e">
        <f t="shared" si="1"/>
        <v>#REF!</v>
      </c>
    </row>
    <row r="15" spans="2:4" ht="12.75">
      <c r="B15" s="35" t="e">
        <f t="shared" si="0"/>
        <v>#REF!</v>
      </c>
      <c r="C15" s="35" t="e">
        <f t="shared" si="3"/>
        <v>#REF!</v>
      </c>
      <c r="D15" s="35" t="e">
        <f t="shared" si="1"/>
        <v>#REF!</v>
      </c>
    </row>
    <row r="16" spans="2:4" ht="12.75">
      <c r="B16" s="35" t="e">
        <f t="shared" si="0"/>
        <v>#REF!</v>
      </c>
      <c r="C16" s="35" t="e">
        <f t="shared" si="3"/>
        <v>#REF!</v>
      </c>
      <c r="D16" s="35" t="e">
        <f t="shared" si="1"/>
        <v>#REF!</v>
      </c>
    </row>
    <row r="17" spans="2:4" ht="12.75">
      <c r="B17" s="35" t="e">
        <f t="shared" si="0"/>
        <v>#REF!</v>
      </c>
      <c r="C17" s="35" t="e">
        <f t="shared" si="3"/>
        <v>#REF!</v>
      </c>
      <c r="D17" s="35" t="e">
        <f t="shared" si="1"/>
        <v>#REF!</v>
      </c>
    </row>
    <row r="18" spans="2:4" ht="12.75">
      <c r="B18" s="35" t="e">
        <f t="shared" si="0"/>
        <v>#REF!</v>
      </c>
      <c r="C18" s="35" t="e">
        <f t="shared" si="3"/>
        <v>#REF!</v>
      </c>
      <c r="D18" s="35" t="e">
        <f t="shared" si="1"/>
        <v>#REF!</v>
      </c>
    </row>
    <row r="19" spans="2:4" ht="12.75">
      <c r="B19" s="35" t="e">
        <f t="shared" si="0"/>
        <v>#REF!</v>
      </c>
      <c r="C19" s="35" t="e">
        <f t="shared" si="3"/>
        <v>#REF!</v>
      </c>
      <c r="D19" s="35" t="e">
        <f t="shared" si="1"/>
        <v>#REF!</v>
      </c>
    </row>
    <row r="20" spans="2:4" ht="12.75">
      <c r="B20" s="35" t="e">
        <f t="shared" si="0"/>
        <v>#REF!</v>
      </c>
      <c r="C20" s="35" t="e">
        <f t="shared" si="3"/>
        <v>#REF!</v>
      </c>
      <c r="D20" s="35" t="e">
        <f t="shared" si="1"/>
        <v>#REF!</v>
      </c>
    </row>
    <row r="21" spans="2:4" ht="12.75">
      <c r="B21" s="35" t="e">
        <f t="shared" si="0"/>
        <v>#REF!</v>
      </c>
      <c r="C21" s="35" t="e">
        <f t="shared" si="3"/>
        <v>#REF!</v>
      </c>
      <c r="D21" s="35" t="e">
        <f t="shared" si="1"/>
        <v>#REF!</v>
      </c>
    </row>
    <row r="22" spans="2:4" ht="12.75">
      <c r="B22" s="35" t="e">
        <f t="shared" si="0"/>
        <v>#REF!</v>
      </c>
      <c r="C22" s="35" t="e">
        <f t="shared" si="3"/>
        <v>#REF!</v>
      </c>
      <c r="D22" s="35" t="e">
        <f t="shared" si="1"/>
        <v>#REF!</v>
      </c>
    </row>
    <row r="23" spans="2:4" ht="12.75">
      <c r="B23" s="35" t="e">
        <f t="shared" si="0"/>
        <v>#REF!</v>
      </c>
      <c r="C23" s="35" t="e">
        <f t="shared" si="3"/>
        <v>#REF!</v>
      </c>
      <c r="D23" s="35" t="e">
        <f t="shared" si="1"/>
        <v>#REF!</v>
      </c>
    </row>
    <row r="24" spans="2:4" ht="12.75">
      <c r="B24" s="35" t="e">
        <f t="shared" si="0"/>
        <v>#REF!</v>
      </c>
      <c r="C24" s="35" t="e">
        <f t="shared" si="3"/>
        <v>#REF!</v>
      </c>
      <c r="D24" s="35" t="e">
        <f t="shared" si="1"/>
        <v>#REF!</v>
      </c>
    </row>
    <row r="25" spans="2:4" ht="12.75">
      <c r="B25" s="35" t="e">
        <f t="shared" si="0"/>
        <v>#REF!</v>
      </c>
      <c r="C25" s="35" t="e">
        <f t="shared" si="3"/>
        <v>#REF!</v>
      </c>
      <c r="D25" s="35" t="e">
        <f t="shared" si="1"/>
        <v>#REF!</v>
      </c>
    </row>
    <row r="26" spans="2:4" ht="12.75">
      <c r="B26" s="35" t="e">
        <f t="shared" si="0"/>
        <v>#REF!</v>
      </c>
      <c r="C26" s="35" t="e">
        <f t="shared" si="3"/>
        <v>#REF!</v>
      </c>
      <c r="D26" s="35" t="e">
        <f t="shared" si="1"/>
        <v>#REF!</v>
      </c>
    </row>
    <row r="27" spans="2:4" ht="12.75">
      <c r="B27" s="35" t="e">
        <f t="shared" si="0"/>
        <v>#REF!</v>
      </c>
      <c r="C27" s="35" t="e">
        <f t="shared" si="3"/>
        <v>#REF!</v>
      </c>
      <c r="D27" s="35" t="e">
        <f t="shared" si="1"/>
        <v>#REF!</v>
      </c>
    </row>
    <row r="28" spans="2:4" ht="12.75">
      <c r="B28" s="35" t="e">
        <f t="shared" si="0"/>
        <v>#REF!</v>
      </c>
      <c r="C28" s="35" t="e">
        <f t="shared" si="3"/>
        <v>#REF!</v>
      </c>
      <c r="D28" s="35" t="e">
        <f t="shared" si="1"/>
        <v>#REF!</v>
      </c>
    </row>
    <row r="29" spans="2:4" ht="12.75">
      <c r="B29" s="35" t="e">
        <f t="shared" si="0"/>
        <v>#REF!</v>
      </c>
      <c r="C29" s="35" t="e">
        <f t="shared" si="3"/>
        <v>#REF!</v>
      </c>
      <c r="D29" s="35" t="e">
        <f t="shared" si="1"/>
        <v>#REF!</v>
      </c>
    </row>
    <row r="30" spans="2:4" ht="12.75">
      <c r="B30" s="35" t="e">
        <f t="shared" si="0"/>
        <v>#REF!</v>
      </c>
      <c r="C30" s="35" t="e">
        <f t="shared" si="3"/>
        <v>#REF!</v>
      </c>
      <c r="D30" s="35" t="e">
        <f t="shared" si="1"/>
        <v>#REF!</v>
      </c>
    </row>
    <row r="31" spans="2:4" ht="12.75">
      <c r="B31" s="35" t="e">
        <f t="shared" si="0"/>
        <v>#REF!</v>
      </c>
      <c r="C31" s="35" t="e">
        <f t="shared" si="3"/>
        <v>#REF!</v>
      </c>
      <c r="D31" s="35" t="e">
        <f t="shared" si="1"/>
        <v>#REF!</v>
      </c>
    </row>
    <row r="32" spans="2:4" ht="12.75">
      <c r="B32" s="35" t="e">
        <f t="shared" si="0"/>
        <v>#REF!</v>
      </c>
      <c r="C32" s="35" t="e">
        <f t="shared" si="3"/>
        <v>#REF!</v>
      </c>
      <c r="D32" s="35" t="e">
        <f t="shared" si="1"/>
        <v>#REF!</v>
      </c>
    </row>
    <row r="33" spans="2:4" ht="12.75">
      <c r="B33" s="35" t="e">
        <f t="shared" si="0"/>
        <v>#REF!</v>
      </c>
      <c r="C33" s="35" t="e">
        <f t="shared" si="3"/>
        <v>#REF!</v>
      </c>
      <c r="D33" s="35" t="e">
        <f t="shared" si="1"/>
        <v>#REF!</v>
      </c>
    </row>
    <row r="34" spans="2:4" ht="12.75">
      <c r="B34" s="35" t="e">
        <f t="shared" si="0"/>
        <v>#REF!</v>
      </c>
      <c r="C34" s="35" t="e">
        <f t="shared" si="3"/>
        <v>#REF!</v>
      </c>
      <c r="D34" s="35" t="e">
        <f t="shared" si="1"/>
        <v>#REF!</v>
      </c>
    </row>
    <row r="35" spans="2:4" ht="12.75">
      <c r="B35" s="35" t="e">
        <f t="shared" si="0"/>
        <v>#REF!</v>
      </c>
      <c r="C35" s="35" t="e">
        <f t="shared" si="3"/>
        <v>#REF!</v>
      </c>
      <c r="D35" s="35" t="e">
        <f t="shared" si="1"/>
        <v>#REF!</v>
      </c>
    </row>
    <row r="36" spans="2:4" ht="12.75">
      <c r="B36" s="35" t="e">
        <f t="shared" si="0"/>
        <v>#REF!</v>
      </c>
      <c r="C36" s="35" t="e">
        <f t="shared" si="3"/>
        <v>#REF!</v>
      </c>
      <c r="D36" s="35" t="e">
        <f t="shared" si="1"/>
        <v>#REF!</v>
      </c>
    </row>
    <row r="37" spans="2:4" ht="12.75">
      <c r="B37" s="35" t="e">
        <f t="shared" si="0"/>
        <v>#REF!</v>
      </c>
      <c r="C37" s="35" t="e">
        <f t="shared" si="3"/>
        <v>#REF!</v>
      </c>
      <c r="D37" s="35" t="e">
        <f t="shared" si="1"/>
        <v>#REF!</v>
      </c>
    </row>
    <row r="38" spans="2:4" ht="12.75">
      <c r="B38" s="35" t="e">
        <f t="shared" si="0"/>
        <v>#REF!</v>
      </c>
      <c r="C38" s="35" t="e">
        <f t="shared" si="3"/>
        <v>#REF!</v>
      </c>
      <c r="D38" s="35" t="e">
        <f t="shared" si="1"/>
        <v>#REF!</v>
      </c>
    </row>
    <row r="39" spans="2:4" ht="12.75">
      <c r="B39" s="35" t="e">
        <f t="shared" si="0"/>
        <v>#REF!</v>
      </c>
      <c r="C39" s="35" t="e">
        <f t="shared" si="3"/>
        <v>#REF!</v>
      </c>
      <c r="D39" s="35" t="e">
        <f t="shared" si="1"/>
        <v>#REF!</v>
      </c>
    </row>
    <row r="40" spans="2:4" ht="12.75">
      <c r="B40" s="35" t="e">
        <f t="shared" si="0"/>
        <v>#REF!</v>
      </c>
      <c r="C40" s="35" t="e">
        <f t="shared" si="3"/>
        <v>#REF!</v>
      </c>
      <c r="D40" s="35" t="e">
        <f t="shared" si="1"/>
        <v>#REF!</v>
      </c>
    </row>
    <row r="41" spans="2:4" ht="12.75">
      <c r="B41" s="35" t="e">
        <f t="shared" si="0"/>
        <v>#REF!</v>
      </c>
      <c r="C41" s="35" t="e">
        <f t="shared" si="3"/>
        <v>#REF!</v>
      </c>
      <c r="D41" s="35" t="e">
        <f t="shared" si="1"/>
        <v>#REF!</v>
      </c>
    </row>
    <row r="42" spans="2:4" ht="12.75">
      <c r="B42" s="35" t="e">
        <f t="shared" si="0"/>
        <v>#REF!</v>
      </c>
      <c r="C42" s="35" t="e">
        <f t="shared" si="3"/>
        <v>#REF!</v>
      </c>
      <c r="D42" s="35" t="e">
        <f t="shared" si="1"/>
        <v>#REF!</v>
      </c>
    </row>
    <row r="43" spans="2:4" ht="12.75">
      <c r="B43" s="35" t="e">
        <f t="shared" si="0"/>
        <v>#REF!</v>
      </c>
      <c r="C43" s="35" t="e">
        <f t="shared" si="3"/>
        <v>#REF!</v>
      </c>
      <c r="D43" s="35" t="e">
        <f t="shared" si="1"/>
        <v>#REF!</v>
      </c>
    </row>
    <row r="44" spans="2:4" ht="12.75">
      <c r="B44" s="35" t="e">
        <f t="shared" si="0"/>
        <v>#REF!</v>
      </c>
      <c r="C44" s="35" t="e">
        <f t="shared" si="3"/>
        <v>#REF!</v>
      </c>
      <c r="D44" s="35" t="e">
        <f t="shared" si="1"/>
        <v>#REF!</v>
      </c>
    </row>
    <row r="45" spans="2:4" ht="12.75">
      <c r="B45" s="35" t="e">
        <f t="shared" si="0"/>
        <v>#REF!</v>
      </c>
      <c r="C45" s="35" t="e">
        <f t="shared" si="3"/>
        <v>#REF!</v>
      </c>
      <c r="D45" s="35" t="e">
        <f t="shared" si="1"/>
        <v>#REF!</v>
      </c>
    </row>
    <row r="46" spans="2:4" ht="12.75">
      <c r="B46" s="35" t="e">
        <f t="shared" si="0"/>
        <v>#REF!</v>
      </c>
      <c r="C46" s="35" t="e">
        <f t="shared" si="3"/>
        <v>#REF!</v>
      </c>
      <c r="D46" s="35" t="e">
        <f t="shared" si="1"/>
        <v>#REF!</v>
      </c>
    </row>
    <row r="47" spans="2:4" ht="12.75">
      <c r="B47" s="35" t="e">
        <f t="shared" si="0"/>
        <v>#REF!</v>
      </c>
      <c r="C47" s="35" t="e">
        <f t="shared" si="3"/>
        <v>#REF!</v>
      </c>
      <c r="D47" s="35" t="e">
        <f t="shared" si="1"/>
        <v>#REF!</v>
      </c>
    </row>
    <row r="48" spans="2:4" ht="12.75">
      <c r="B48" s="35" t="e">
        <f t="shared" si="0"/>
        <v>#REF!</v>
      </c>
      <c r="C48" s="35" t="e">
        <f t="shared" si="3"/>
        <v>#REF!</v>
      </c>
      <c r="D48" s="35" t="e">
        <f t="shared" si="1"/>
        <v>#REF!</v>
      </c>
    </row>
    <row r="49" spans="2:4" ht="12.75">
      <c r="B49" s="35" t="e">
        <f t="shared" si="0"/>
        <v>#REF!</v>
      </c>
      <c r="C49" s="35" t="e">
        <f t="shared" si="3"/>
        <v>#REF!</v>
      </c>
      <c r="D49" s="35" t="e">
        <f t="shared" si="1"/>
        <v>#REF!</v>
      </c>
    </row>
    <row r="50" spans="2:4" ht="12.75">
      <c r="B50" s="35" t="e">
        <f t="shared" si="0"/>
        <v>#REF!</v>
      </c>
      <c r="C50" s="35" t="e">
        <f t="shared" si="3"/>
        <v>#REF!</v>
      </c>
      <c r="D50" s="35" t="e">
        <f t="shared" si="1"/>
        <v>#REF!</v>
      </c>
    </row>
  </sheetData>
  <mergeCells count="1">
    <mergeCell ref="G2:I2"/>
  </mergeCells>
  <dataValidations count="1">
    <dataValidation type="list" allowBlank="1" sqref="A4:A50">
      <formula1>priortization!$A$1:$A$91</formula1>
    </dataValidation>
  </dataValidations>
  <hyperlinks>
    <hyperlink ref="A2" r:id="rId1" display="https://docs.google.com/file/d/0B8aL7M45OFh_YVJTM1dFODdlSGM/edit?usp=sharing"/>
    <hyperlink ref="A3" r:id="rId2" display="https://docs.google.com/document/d/104GcuVdpqyDEPBnIM6O3BJ3LnmQSmcQ6UNyl5T6XgMk/edit?usp=sharing"/>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U99"/>
  <sheetViews>
    <sheetView workbookViewId="0" topLeftCell="A1">
      <pane ySplit="1" topLeftCell="A2" activePane="bottomLeft" state="frozen"/>
      <selection pane="bottomLeft" activeCell="B3" sqref="B3"/>
    </sheetView>
  </sheetViews>
  <sheetFormatPr defaultColWidth="14.421875" defaultRowHeight="12.75" customHeight="1"/>
  <cols>
    <col min="1" max="1" width="54.8515625" style="0" customWidth="1"/>
    <col min="2" max="2" width="6.8515625" style="0" customWidth="1"/>
    <col min="3" max="3" width="8.00390625" style="0" customWidth="1"/>
    <col min="4" max="4" width="7.7109375" style="0" customWidth="1"/>
    <col min="5" max="5" width="7.57421875" style="0" customWidth="1"/>
    <col min="6" max="6" width="17.28125" style="0" customWidth="1"/>
    <col min="7" max="7" width="9.00390625" style="0" customWidth="1"/>
    <col min="8" max="8" width="7.421875" style="0" customWidth="1"/>
    <col min="9" max="21" width="17.28125" style="0" customWidth="1"/>
  </cols>
  <sheetData>
    <row r="1" spans="1:21" ht="12.75">
      <c r="A1" s="3" t="s">
        <v>18</v>
      </c>
      <c r="B1" s="3" t="s">
        <v>19</v>
      </c>
      <c r="C1" s="3" t="s">
        <v>20</v>
      </c>
      <c r="D1" s="3" t="s">
        <v>21</v>
      </c>
      <c r="E1" s="3" t="s">
        <v>22</v>
      </c>
      <c r="F1" s="96"/>
      <c r="G1" s="1" t="s">
        <v>7</v>
      </c>
      <c r="H1" s="1" t="s">
        <v>21</v>
      </c>
      <c r="I1" s="115" t="s">
        <v>302</v>
      </c>
      <c r="J1" s="10"/>
      <c r="K1" s="10"/>
      <c r="L1" s="10"/>
      <c r="M1" s="10"/>
      <c r="N1" s="10"/>
      <c r="O1" s="10"/>
      <c r="P1" s="10"/>
      <c r="Q1" s="10"/>
      <c r="R1" s="10"/>
      <c r="S1" s="10"/>
      <c r="T1" s="10"/>
      <c r="U1" s="10"/>
    </row>
    <row r="2" spans="1:9" ht="12.75">
      <c r="A2" s="13" t="s">
        <v>357</v>
      </c>
      <c r="B2" s="13" t="s">
        <v>309</v>
      </c>
      <c r="C2" s="61" t="s">
        <v>96</v>
      </c>
      <c r="D2" s="35" t="e">
        <f aca="true" t="shared" si="0" ref="D2:D99">IF(OR(C2="Fill in.",C2=""),"Get Size",VLOOKUP(C2,#REF!,4,FALSE))</f>
        <v>#REF!</v>
      </c>
      <c r="F2" s="117"/>
      <c r="G2" s="164" t="s">
        <v>362</v>
      </c>
      <c r="H2" s="186" t="e">
        <f aca="true" t="shared" si="1" ref="H2:H5">SUMIF($B$2:$D$100,G2,$D:$D)</f>
        <v>#REF!</v>
      </c>
      <c r="I2" s="19"/>
    </row>
    <row r="3" spans="1:9" ht="12.75">
      <c r="A3" s="13" t="s">
        <v>384</v>
      </c>
      <c r="B3" s="13" t="s">
        <v>309</v>
      </c>
      <c r="C3" s="13" t="s">
        <v>96</v>
      </c>
      <c r="D3" s="35" t="e">
        <f t="shared" si="0"/>
        <v>#REF!</v>
      </c>
      <c r="F3" s="117"/>
      <c r="G3" s="8" t="s">
        <v>570</v>
      </c>
      <c r="H3" s="82" t="e">
        <f t="shared" si="1"/>
        <v>#REF!</v>
      </c>
      <c r="I3" s="19"/>
    </row>
    <row r="4" spans="1:9" ht="12.75">
      <c r="A4" s="13" t="s">
        <v>532</v>
      </c>
      <c r="B4" s="13" t="s">
        <v>309</v>
      </c>
      <c r="C4" s="13" t="s">
        <v>101</v>
      </c>
      <c r="D4" s="35" t="e">
        <f t="shared" si="0"/>
        <v>#REF!</v>
      </c>
      <c r="F4" s="117"/>
      <c r="G4" s="8" t="s">
        <v>600</v>
      </c>
      <c r="H4" s="82" t="str">
        <f t="shared" si="1"/>
        <v>0</v>
      </c>
      <c r="I4" s="19"/>
    </row>
    <row r="5" spans="1:9" ht="12.75">
      <c r="A5" s="13" t="s">
        <v>319</v>
      </c>
      <c r="B5" s="35" t="e">
        <f aca="true" t="shared" si="2" ref="B5:B16">IF(ISNA(VLOOKUP(A5,#REF!,10,FALSE)),IF(ISNA(VLOOKUP(A5,#REF!,10,FALSE)),"Fill in.",VLOOKUP(A5,#REF!,10,FALSE)),VLOOKUP(A5,#REF!,10,FALSE))</f>
        <v>#REF!</v>
      </c>
      <c r="C5" s="35" t="e">
        <f aca="true" t="shared" si="3" ref="C5:C6">IF(ISNA(VLOOKUP(A5,#REF!,4,FALSE)),IF(ISNA(VLOOKUP(A5,#REF!,4,FALSE)),"Fill in.",VLOOKUP(A5,#REF!,4,FALSE)),VLOOKUP(A5,#REF!,4,FALSE))</f>
        <v>#REF!</v>
      </c>
      <c r="D5" s="35" t="e">
        <f t="shared" si="0"/>
        <v>#REF!</v>
      </c>
      <c r="F5" s="117"/>
      <c r="G5" s="8" t="s">
        <v>630</v>
      </c>
      <c r="H5" s="82" t="str">
        <f t="shared" si="1"/>
        <v>0</v>
      </c>
      <c r="I5" s="19"/>
    </row>
    <row r="6" spans="1:8" ht="12.75">
      <c r="A6" s="13" t="s">
        <v>631</v>
      </c>
      <c r="B6" s="35" t="e">
        <f t="shared" si="2"/>
        <v>#REF!</v>
      </c>
      <c r="C6" s="35" t="e">
        <f t="shared" si="3"/>
        <v>#REF!</v>
      </c>
      <c r="D6" s="35" t="e">
        <f t="shared" si="0"/>
        <v>#REF!</v>
      </c>
      <c r="G6" s="121" t="s">
        <v>632</v>
      </c>
      <c r="H6" s="21"/>
    </row>
    <row r="7" spans="1:4" ht="12.75">
      <c r="A7" s="13" t="s">
        <v>298</v>
      </c>
      <c r="B7" s="35" t="e">
        <f t="shared" si="2"/>
        <v>#REF!</v>
      </c>
      <c r="C7" s="61" t="s">
        <v>96</v>
      </c>
      <c r="D7" s="35" t="e">
        <f t="shared" si="0"/>
        <v>#REF!</v>
      </c>
    </row>
    <row r="8" spans="1:4" ht="12.75">
      <c r="A8" s="13" t="s">
        <v>313</v>
      </c>
      <c r="B8" s="35" t="e">
        <f t="shared" si="2"/>
        <v>#REF!</v>
      </c>
      <c r="C8" s="61" t="s">
        <v>96</v>
      </c>
      <c r="D8" s="35" t="e">
        <f t="shared" si="0"/>
        <v>#REF!</v>
      </c>
    </row>
    <row r="9" spans="1:8" ht="12.75">
      <c r="A9" s="13" t="s">
        <v>279</v>
      </c>
      <c r="B9" s="35" t="e">
        <f t="shared" si="2"/>
        <v>#REF!</v>
      </c>
      <c r="C9" s="35" t="e">
        <f aca="true" t="shared" si="4" ref="C9:C15">IF(ISNA(VLOOKUP(A9,#REF!,4,FALSE)),IF(ISNA(VLOOKUP(A9,#REF!,4,FALSE)),"Fill in.",VLOOKUP(A9,#REF!,4,FALSE)),VLOOKUP(A9,#REF!,4,FALSE))</f>
        <v>#REF!</v>
      </c>
      <c r="D9" s="35" t="e">
        <f t="shared" si="0"/>
        <v>#REF!</v>
      </c>
      <c r="G9" s="105"/>
      <c r="H9" s="13" t="s">
        <v>330</v>
      </c>
    </row>
    <row r="10" spans="1:4" ht="12.75">
      <c r="A10" s="13" t="s">
        <v>174</v>
      </c>
      <c r="B10" s="35" t="e">
        <f t="shared" si="2"/>
        <v>#REF!</v>
      </c>
      <c r="C10" s="35" t="e">
        <f t="shared" si="4"/>
        <v>#REF!</v>
      </c>
      <c r="D10" s="35" t="e">
        <f t="shared" si="0"/>
        <v>#REF!</v>
      </c>
    </row>
    <row r="11" spans="1:4" ht="12.75">
      <c r="A11" s="13" t="s">
        <v>159</v>
      </c>
      <c r="B11" s="35" t="e">
        <f t="shared" si="2"/>
        <v>#REF!</v>
      </c>
      <c r="C11" s="35" t="e">
        <f t="shared" si="4"/>
        <v>#REF!</v>
      </c>
      <c r="D11" s="35" t="e">
        <f t="shared" si="0"/>
        <v>#REF!</v>
      </c>
    </row>
    <row r="12" spans="1:5" ht="12.75">
      <c r="A12" s="13" t="s">
        <v>633</v>
      </c>
      <c r="B12" s="35" t="e">
        <f t="shared" si="2"/>
        <v>#REF!</v>
      </c>
      <c r="C12" s="35" t="e">
        <f t="shared" si="4"/>
        <v>#REF!</v>
      </c>
      <c r="D12" s="35" t="e">
        <f t="shared" si="0"/>
        <v>#REF!</v>
      </c>
      <c r="E12" s="13" t="s">
        <v>634</v>
      </c>
    </row>
    <row r="13" spans="1:4" ht="12.75">
      <c r="A13" s="13" t="s">
        <v>315</v>
      </c>
      <c r="B13" s="35" t="e">
        <f t="shared" si="2"/>
        <v>#REF!</v>
      </c>
      <c r="C13" s="35" t="e">
        <f t="shared" si="4"/>
        <v>#REF!</v>
      </c>
      <c r="D13" s="35" t="e">
        <f t="shared" si="0"/>
        <v>#REF!</v>
      </c>
    </row>
    <row r="14" spans="1:4" ht="12.75">
      <c r="A14" s="13" t="s">
        <v>635</v>
      </c>
      <c r="B14" s="35" t="e">
        <f t="shared" si="2"/>
        <v>#REF!</v>
      </c>
      <c r="C14" s="35" t="e">
        <f t="shared" si="4"/>
        <v>#REF!</v>
      </c>
      <c r="D14" s="35" t="e">
        <f t="shared" si="0"/>
        <v>#REF!</v>
      </c>
    </row>
    <row r="15" spans="1:4" ht="12.75">
      <c r="A15" s="13" t="s">
        <v>637</v>
      </c>
      <c r="B15" s="35" t="e">
        <f t="shared" si="2"/>
        <v>#REF!</v>
      </c>
      <c r="C15" s="35" t="e">
        <f t="shared" si="4"/>
        <v>#REF!</v>
      </c>
      <c r="D15" s="35" t="e">
        <f t="shared" si="0"/>
        <v>#REF!</v>
      </c>
    </row>
    <row r="16" spans="1:4" ht="12.75">
      <c r="A16" s="13" t="s">
        <v>326</v>
      </c>
      <c r="B16" s="35" t="e">
        <f t="shared" si="2"/>
        <v>#REF!</v>
      </c>
      <c r="C16" s="61" t="s">
        <v>96</v>
      </c>
      <c r="D16" s="35" t="e">
        <f t="shared" si="0"/>
        <v>#REF!</v>
      </c>
    </row>
    <row r="17" spans="1:5" ht="12.75">
      <c r="A17" s="13" t="s">
        <v>64</v>
      </c>
      <c r="B17" s="13" t="s">
        <v>570</v>
      </c>
      <c r="C17" s="35" t="e">
        <f aca="true" t="shared" si="5" ref="C17:C20">IF(ISNA(VLOOKUP(A17,#REF!,4,FALSE)),IF(ISNA(VLOOKUP(A17,#REF!,4,FALSE)),"Fill in.",VLOOKUP(A17,#REF!,4,FALSE)),VLOOKUP(A17,#REF!,4,FALSE))</f>
        <v>#REF!</v>
      </c>
      <c r="D17" s="35" t="e">
        <f t="shared" si="0"/>
        <v>#REF!</v>
      </c>
      <c r="E17" s="13" t="s">
        <v>634</v>
      </c>
    </row>
    <row r="18" spans="1:5" ht="12.75">
      <c r="A18" s="13" t="s">
        <v>168</v>
      </c>
      <c r="B18" s="13" t="s">
        <v>570</v>
      </c>
      <c r="C18" s="35" t="e">
        <f t="shared" si="5"/>
        <v>#REF!</v>
      </c>
      <c r="D18" s="35" t="e">
        <f t="shared" si="0"/>
        <v>#REF!</v>
      </c>
      <c r="E18" s="13" t="s">
        <v>634</v>
      </c>
    </row>
    <row r="19" spans="1:5" ht="12.75">
      <c r="A19" s="13" t="s">
        <v>150</v>
      </c>
      <c r="B19" s="13" t="s">
        <v>570</v>
      </c>
      <c r="C19" s="35" t="e">
        <f t="shared" si="5"/>
        <v>#REF!</v>
      </c>
      <c r="D19" s="35" t="e">
        <f t="shared" si="0"/>
        <v>#REF!</v>
      </c>
      <c r="E19" s="13" t="s">
        <v>634</v>
      </c>
    </row>
    <row r="20" spans="1:4" ht="12.75">
      <c r="A20" s="13" t="s">
        <v>14</v>
      </c>
      <c r="B20" s="35" t="e">
        <f>IF(ISNA(VLOOKUP(A20,#REF!,10,FALSE)),IF(ISNA(VLOOKUP(A20,#REF!,10,FALSE)),"Fill in.",VLOOKUP(A20,#REF!,10,FALSE)),VLOOKUP(A20,#REF!,10,FALSE))</f>
        <v>#REF!</v>
      </c>
      <c r="C20" s="35" t="e">
        <f t="shared" si="5"/>
        <v>#REF!</v>
      </c>
      <c r="D20" s="35" t="e">
        <f t="shared" si="0"/>
        <v>#REF!</v>
      </c>
    </row>
    <row r="21" spans="1:4" ht="12.75">
      <c r="A21" s="13" t="s">
        <v>478</v>
      </c>
      <c r="B21" s="13" t="s">
        <v>309</v>
      </c>
      <c r="C21" s="13" t="s">
        <v>350</v>
      </c>
      <c r="D21" s="35" t="e">
        <f t="shared" si="0"/>
        <v>#REF!</v>
      </c>
    </row>
    <row r="22" spans="1:4" ht="12.75">
      <c r="A22" s="13" t="s">
        <v>316</v>
      </c>
      <c r="B22" s="35" t="e">
        <f aca="true" t="shared" si="6" ref="B22:B50">IF(ISNA(VLOOKUP(A22,#REF!,10,FALSE)),IF(ISNA(VLOOKUP(A22,#REF!,10,FALSE)),"Fill in.",VLOOKUP(A22,#REF!,10,FALSE)),VLOOKUP(A22,#REF!,10,FALSE))</f>
        <v>#REF!</v>
      </c>
      <c r="C22" s="35" t="e">
        <f aca="true" t="shared" si="7" ref="C22:C23">IF(ISNA(VLOOKUP(A22,#REF!,4,FALSE)),IF(ISNA(VLOOKUP(A22,#REF!,4,FALSE)),"Fill in.",VLOOKUP(A22,#REF!,4,FALSE)),VLOOKUP(A22,#REF!,4,FALSE))</f>
        <v>#REF!</v>
      </c>
      <c r="D22" s="35" t="e">
        <f t="shared" si="0"/>
        <v>#REF!</v>
      </c>
    </row>
    <row r="23" spans="1:4" ht="12.75">
      <c r="A23" s="13" t="s">
        <v>328</v>
      </c>
      <c r="B23" s="35" t="e">
        <f t="shared" si="6"/>
        <v>#REF!</v>
      </c>
      <c r="C23" s="35" t="e">
        <f t="shared" si="7"/>
        <v>#REF!</v>
      </c>
      <c r="D23" s="35" t="e">
        <f t="shared" si="0"/>
        <v>#REF!</v>
      </c>
    </row>
    <row r="24" spans="1:4" ht="12.75">
      <c r="A24" s="13" t="s">
        <v>643</v>
      </c>
      <c r="B24" s="35" t="e">
        <f t="shared" si="6"/>
        <v>#REF!</v>
      </c>
      <c r="C24" s="61" t="s">
        <v>96</v>
      </c>
      <c r="D24" s="35" t="e">
        <f t="shared" si="0"/>
        <v>#REF!</v>
      </c>
    </row>
    <row r="25" spans="1:4" ht="12.75">
      <c r="A25" s="13" t="s">
        <v>213</v>
      </c>
      <c r="B25" s="35" t="e">
        <f t="shared" si="6"/>
        <v>#REF!</v>
      </c>
      <c r="C25" s="61" t="s">
        <v>96</v>
      </c>
      <c r="D25" s="35" t="e">
        <f t="shared" si="0"/>
        <v>#REF!</v>
      </c>
    </row>
    <row r="26" spans="1:4" ht="12.75">
      <c r="A26" s="13" t="s">
        <v>644</v>
      </c>
      <c r="B26" s="35" t="e">
        <f t="shared" si="6"/>
        <v>#REF!</v>
      </c>
      <c r="C26" s="35" t="e">
        <f aca="true" t="shared" si="8" ref="C26:C47">IF(ISNA(VLOOKUP(A26,#REF!,4,FALSE)),IF(ISNA(VLOOKUP(A26,#REF!,4,FALSE)),"Fill in.",VLOOKUP(A26,#REF!,4,FALSE)),VLOOKUP(A26,#REF!,4,FALSE))</f>
        <v>#REF!</v>
      </c>
      <c r="D26" s="35" t="e">
        <f t="shared" si="0"/>
        <v>#REF!</v>
      </c>
    </row>
    <row r="27" spans="1:4" ht="12.75">
      <c r="A27" s="13" t="s">
        <v>648</v>
      </c>
      <c r="B27" s="35" t="e">
        <f t="shared" si="6"/>
        <v>#REF!</v>
      </c>
      <c r="C27" s="35" t="e">
        <f t="shared" si="8"/>
        <v>#REF!</v>
      </c>
      <c r="D27" s="35" t="e">
        <f t="shared" si="0"/>
        <v>#REF!</v>
      </c>
    </row>
    <row r="28" spans="1:4" ht="12.75">
      <c r="A28" s="13" t="s">
        <v>649</v>
      </c>
      <c r="B28" s="35" t="e">
        <f t="shared" si="6"/>
        <v>#REF!</v>
      </c>
      <c r="C28" s="35" t="e">
        <f t="shared" si="8"/>
        <v>#REF!</v>
      </c>
      <c r="D28" s="35" t="e">
        <f t="shared" si="0"/>
        <v>#REF!</v>
      </c>
    </row>
    <row r="29" spans="1:4" ht="12.75">
      <c r="A29" s="13" t="s">
        <v>651</v>
      </c>
      <c r="B29" s="35" t="e">
        <f t="shared" si="6"/>
        <v>#REF!</v>
      </c>
      <c r="C29" s="35" t="e">
        <f t="shared" si="8"/>
        <v>#REF!</v>
      </c>
      <c r="D29" s="35" t="e">
        <f t="shared" si="0"/>
        <v>#REF!</v>
      </c>
    </row>
    <row r="30" spans="1:4" ht="12.75">
      <c r="A30" s="13" t="s">
        <v>268</v>
      </c>
      <c r="B30" s="35" t="e">
        <f t="shared" si="6"/>
        <v>#REF!</v>
      </c>
      <c r="C30" s="35" t="e">
        <f t="shared" si="8"/>
        <v>#REF!</v>
      </c>
      <c r="D30" s="35" t="e">
        <f t="shared" si="0"/>
        <v>#REF!</v>
      </c>
    </row>
    <row r="31" spans="1:4" ht="12.75">
      <c r="A31" s="13" t="s">
        <v>15</v>
      </c>
      <c r="B31" s="35" t="e">
        <f t="shared" si="6"/>
        <v>#REF!</v>
      </c>
      <c r="C31" s="35" t="e">
        <f t="shared" si="8"/>
        <v>#REF!</v>
      </c>
      <c r="D31" s="35" t="e">
        <f t="shared" si="0"/>
        <v>#REF!</v>
      </c>
    </row>
    <row r="32" spans="1:4" ht="12.75">
      <c r="A32" s="13" t="s">
        <v>656</v>
      </c>
      <c r="B32" s="35" t="e">
        <f t="shared" si="6"/>
        <v>#REF!</v>
      </c>
      <c r="C32" s="35" t="e">
        <f t="shared" si="8"/>
        <v>#REF!</v>
      </c>
      <c r="D32" s="35" t="e">
        <f t="shared" si="0"/>
        <v>#REF!</v>
      </c>
    </row>
    <row r="33" spans="1:4" ht="12.75">
      <c r="A33" s="13" t="s">
        <v>392</v>
      </c>
      <c r="B33" s="35" t="e">
        <f t="shared" si="6"/>
        <v>#REF!</v>
      </c>
      <c r="C33" s="35" t="e">
        <f t="shared" si="8"/>
        <v>#REF!</v>
      </c>
      <c r="D33" s="35" t="e">
        <f t="shared" si="0"/>
        <v>#REF!</v>
      </c>
    </row>
    <row r="34" spans="1:4" ht="12.75">
      <c r="A34" s="13" t="s">
        <v>398</v>
      </c>
      <c r="B34" s="35" t="e">
        <f t="shared" si="6"/>
        <v>#REF!</v>
      </c>
      <c r="C34" s="35" t="e">
        <f t="shared" si="8"/>
        <v>#REF!</v>
      </c>
      <c r="D34" s="35" t="e">
        <f t="shared" si="0"/>
        <v>#REF!</v>
      </c>
    </row>
    <row r="35" spans="1:4" ht="12.75">
      <c r="A35" s="13" t="s">
        <v>662</v>
      </c>
      <c r="B35" s="35" t="e">
        <f t="shared" si="6"/>
        <v>#REF!</v>
      </c>
      <c r="C35" s="35" t="e">
        <f t="shared" si="8"/>
        <v>#REF!</v>
      </c>
      <c r="D35" s="35" t="e">
        <f t="shared" si="0"/>
        <v>#REF!</v>
      </c>
    </row>
    <row r="36" spans="1:4" ht="12.75">
      <c r="A36" s="13" t="s">
        <v>406</v>
      </c>
      <c r="B36" s="35" t="e">
        <f t="shared" si="6"/>
        <v>#REF!</v>
      </c>
      <c r="C36" s="35" t="e">
        <f t="shared" si="8"/>
        <v>#REF!</v>
      </c>
      <c r="D36" s="35" t="e">
        <f t="shared" si="0"/>
        <v>#REF!</v>
      </c>
    </row>
    <row r="37" spans="1:4" ht="12.75">
      <c r="A37" s="13" t="s">
        <v>388</v>
      </c>
      <c r="B37" s="35" t="e">
        <f t="shared" si="6"/>
        <v>#REF!</v>
      </c>
      <c r="C37" s="35" t="e">
        <f t="shared" si="8"/>
        <v>#REF!</v>
      </c>
      <c r="D37" s="35" t="e">
        <f t="shared" si="0"/>
        <v>#REF!</v>
      </c>
    </row>
    <row r="38" spans="1:4" ht="12.75">
      <c r="A38" s="13" t="s">
        <v>288</v>
      </c>
      <c r="B38" s="35" t="e">
        <f t="shared" si="6"/>
        <v>#REF!</v>
      </c>
      <c r="C38" s="35" t="e">
        <f t="shared" si="8"/>
        <v>#REF!</v>
      </c>
      <c r="D38" s="35" t="e">
        <f t="shared" si="0"/>
        <v>#REF!</v>
      </c>
    </row>
    <row r="39" spans="1:4" ht="12.75">
      <c r="A39" s="13" t="s">
        <v>669</v>
      </c>
      <c r="B39" s="35" t="e">
        <f t="shared" si="6"/>
        <v>#REF!</v>
      </c>
      <c r="C39" s="35" t="e">
        <f t="shared" si="8"/>
        <v>#REF!</v>
      </c>
      <c r="D39" s="35" t="e">
        <f t="shared" si="0"/>
        <v>#REF!</v>
      </c>
    </row>
    <row r="40" spans="1:4" ht="12.75">
      <c r="A40" s="13" t="s">
        <v>286</v>
      </c>
      <c r="B40" s="35" t="e">
        <f t="shared" si="6"/>
        <v>#REF!</v>
      </c>
      <c r="C40" s="35" t="e">
        <f t="shared" si="8"/>
        <v>#REF!</v>
      </c>
      <c r="D40" s="35" t="e">
        <f t="shared" si="0"/>
        <v>#REF!</v>
      </c>
    </row>
    <row r="41" spans="1:4" ht="12.75">
      <c r="A41" s="13" t="s">
        <v>674</v>
      </c>
      <c r="B41" s="35" t="e">
        <f t="shared" si="6"/>
        <v>#REF!</v>
      </c>
      <c r="C41" s="35" t="e">
        <f t="shared" si="8"/>
        <v>#REF!</v>
      </c>
      <c r="D41" s="35" t="e">
        <f t="shared" si="0"/>
        <v>#REF!</v>
      </c>
    </row>
    <row r="42" spans="1:4" ht="12.75">
      <c r="A42" s="13" t="s">
        <v>679</v>
      </c>
      <c r="B42" s="35" t="e">
        <f t="shared" si="6"/>
        <v>#REF!</v>
      </c>
      <c r="C42" s="35" t="e">
        <f t="shared" si="8"/>
        <v>#REF!</v>
      </c>
      <c r="D42" s="35" t="e">
        <f t="shared" si="0"/>
        <v>#REF!</v>
      </c>
    </row>
    <row r="43" spans="1:4" ht="12.75">
      <c r="A43" s="13" t="s">
        <v>423</v>
      </c>
      <c r="B43" s="35" t="e">
        <f t="shared" si="6"/>
        <v>#REF!</v>
      </c>
      <c r="C43" s="35" t="e">
        <f t="shared" si="8"/>
        <v>#REF!</v>
      </c>
      <c r="D43" s="35" t="e">
        <f t="shared" si="0"/>
        <v>#REF!</v>
      </c>
    </row>
    <row r="44" spans="1:4" ht="12.75">
      <c r="A44" s="13" t="s">
        <v>30</v>
      </c>
      <c r="B44" s="35" t="e">
        <f t="shared" si="6"/>
        <v>#REF!</v>
      </c>
      <c r="C44" s="35" t="e">
        <f t="shared" si="8"/>
        <v>#REF!</v>
      </c>
      <c r="D44" s="35" t="e">
        <f t="shared" si="0"/>
        <v>#REF!</v>
      </c>
    </row>
    <row r="45" spans="1:4" ht="12.75">
      <c r="A45" s="13" t="s">
        <v>148</v>
      </c>
      <c r="B45" s="35" t="e">
        <f t="shared" si="6"/>
        <v>#REF!</v>
      </c>
      <c r="C45" s="35" t="e">
        <f t="shared" si="8"/>
        <v>#REF!</v>
      </c>
      <c r="D45" s="35" t="e">
        <f t="shared" si="0"/>
        <v>#REF!</v>
      </c>
    </row>
    <row r="46" spans="1:4" ht="12.75">
      <c r="A46" s="13" t="s">
        <v>371</v>
      </c>
      <c r="B46" s="35" t="e">
        <f t="shared" si="6"/>
        <v>#REF!</v>
      </c>
      <c r="C46" s="35" t="e">
        <f t="shared" si="8"/>
        <v>#REF!</v>
      </c>
      <c r="D46" s="35" t="e">
        <f t="shared" si="0"/>
        <v>#REF!</v>
      </c>
    </row>
    <row r="47" spans="1:4" ht="12.75">
      <c r="A47" s="13" t="s">
        <v>216</v>
      </c>
      <c r="B47" s="35" t="e">
        <f t="shared" si="6"/>
        <v>#REF!</v>
      </c>
      <c r="C47" s="35" t="e">
        <f t="shared" si="8"/>
        <v>#REF!</v>
      </c>
      <c r="D47" s="35" t="e">
        <f t="shared" si="0"/>
        <v>#REF!</v>
      </c>
    </row>
    <row r="48" spans="1:4" ht="12.75">
      <c r="A48" s="13" t="s">
        <v>228</v>
      </c>
      <c r="B48" s="35" t="e">
        <f t="shared" si="6"/>
        <v>#REF!</v>
      </c>
      <c r="C48" s="13" t="s">
        <v>350</v>
      </c>
      <c r="D48" s="35" t="e">
        <f t="shared" si="0"/>
        <v>#REF!</v>
      </c>
    </row>
    <row r="49" spans="1:4" ht="12.75">
      <c r="A49" s="13" t="s">
        <v>219</v>
      </c>
      <c r="B49" s="35" t="e">
        <f t="shared" si="6"/>
        <v>#REF!</v>
      </c>
      <c r="C49" s="35" t="e">
        <f>IF(ISNA(VLOOKUP(A49,#REF!,4,FALSE)),IF(ISNA(VLOOKUP(A49,#REF!,4,FALSE)),"Fill in.",VLOOKUP(A49,#REF!,4,FALSE)),VLOOKUP(A49,#REF!,4,FALSE))</f>
        <v>#REF!</v>
      </c>
      <c r="D49" s="35" t="e">
        <f t="shared" si="0"/>
        <v>#REF!</v>
      </c>
    </row>
    <row r="50" spans="1:4" ht="12.75">
      <c r="A50" s="13" t="s">
        <v>434</v>
      </c>
      <c r="B50" s="35" t="e">
        <f t="shared" si="6"/>
        <v>#REF!</v>
      </c>
      <c r="C50" s="61" t="s">
        <v>96</v>
      </c>
      <c r="D50" s="35" t="e">
        <f t="shared" si="0"/>
        <v>#REF!</v>
      </c>
    </row>
    <row r="51" spans="1:4" ht="12.75">
      <c r="A51" s="13" t="s">
        <v>713</v>
      </c>
      <c r="B51" s="13" t="s">
        <v>309</v>
      </c>
      <c r="C51" s="61" t="s">
        <v>101</v>
      </c>
      <c r="D51" s="35" t="e">
        <f t="shared" si="0"/>
        <v>#REF!</v>
      </c>
    </row>
    <row r="52" spans="2:4" ht="12.75">
      <c r="B52" s="35" t="e">
        <f aca="true" t="shared" si="9" ref="B52:B99">IF(ISNA(VLOOKUP(A52,#REF!,10,FALSE)),IF(ISNA(VLOOKUP(A52,#REF!,10,FALSE)),"Fill in.",VLOOKUP(A52,#REF!,10,FALSE)),VLOOKUP(A52,#REF!,10,FALSE))</f>
        <v>#REF!</v>
      </c>
      <c r="C52" s="35" t="e">
        <f aca="true" t="shared" si="10" ref="C52:C99">IF(ISNA(VLOOKUP(A52,#REF!,4,FALSE)),IF(ISNA(VLOOKUP(A52,#REF!,4,FALSE)),"Fill in.",VLOOKUP(A52,#REF!,4,FALSE)),VLOOKUP(A52,#REF!,4,FALSE))</f>
        <v>#REF!</v>
      </c>
      <c r="D52" s="35" t="e">
        <f t="shared" si="0"/>
        <v>#REF!</v>
      </c>
    </row>
    <row r="53" spans="2:4" ht="12.75">
      <c r="B53" s="35" t="e">
        <f t="shared" si="9"/>
        <v>#REF!</v>
      </c>
      <c r="C53" s="35" t="e">
        <f t="shared" si="10"/>
        <v>#REF!</v>
      </c>
      <c r="D53" s="35" t="e">
        <f t="shared" si="0"/>
        <v>#REF!</v>
      </c>
    </row>
    <row r="54" spans="2:4" ht="12.75">
      <c r="B54" s="35" t="e">
        <f t="shared" si="9"/>
        <v>#REF!</v>
      </c>
      <c r="C54" s="35" t="e">
        <f t="shared" si="10"/>
        <v>#REF!</v>
      </c>
      <c r="D54" s="35" t="e">
        <f t="shared" si="0"/>
        <v>#REF!</v>
      </c>
    </row>
    <row r="55" spans="2:4" ht="12.75">
      <c r="B55" s="35" t="e">
        <f t="shared" si="9"/>
        <v>#REF!</v>
      </c>
      <c r="C55" s="35" t="e">
        <f t="shared" si="10"/>
        <v>#REF!</v>
      </c>
      <c r="D55" s="35" t="e">
        <f t="shared" si="0"/>
        <v>#REF!</v>
      </c>
    </row>
    <row r="56" spans="2:4" ht="12.75">
      <c r="B56" s="35" t="e">
        <f t="shared" si="9"/>
        <v>#REF!</v>
      </c>
      <c r="C56" s="35" t="e">
        <f t="shared" si="10"/>
        <v>#REF!</v>
      </c>
      <c r="D56" s="35" t="e">
        <f t="shared" si="0"/>
        <v>#REF!</v>
      </c>
    </row>
    <row r="57" spans="2:4" ht="12.75">
      <c r="B57" s="35" t="e">
        <f t="shared" si="9"/>
        <v>#REF!</v>
      </c>
      <c r="C57" s="35" t="e">
        <f t="shared" si="10"/>
        <v>#REF!</v>
      </c>
      <c r="D57" s="35" t="e">
        <f t="shared" si="0"/>
        <v>#REF!</v>
      </c>
    </row>
    <row r="58" spans="2:4" ht="12.75">
      <c r="B58" s="35" t="e">
        <f t="shared" si="9"/>
        <v>#REF!</v>
      </c>
      <c r="C58" s="35" t="e">
        <f t="shared" si="10"/>
        <v>#REF!</v>
      </c>
      <c r="D58" s="35" t="e">
        <f t="shared" si="0"/>
        <v>#REF!</v>
      </c>
    </row>
    <row r="59" spans="2:4" ht="12.75">
      <c r="B59" s="35" t="e">
        <f t="shared" si="9"/>
        <v>#REF!</v>
      </c>
      <c r="C59" s="35" t="e">
        <f t="shared" si="10"/>
        <v>#REF!</v>
      </c>
      <c r="D59" s="35" t="e">
        <f t="shared" si="0"/>
        <v>#REF!</v>
      </c>
    </row>
    <row r="60" spans="2:4" ht="12.75">
      <c r="B60" s="35" t="e">
        <f t="shared" si="9"/>
        <v>#REF!</v>
      </c>
      <c r="C60" s="35" t="e">
        <f t="shared" si="10"/>
        <v>#REF!</v>
      </c>
      <c r="D60" s="35" t="e">
        <f t="shared" si="0"/>
        <v>#REF!</v>
      </c>
    </row>
    <row r="61" spans="2:4" ht="12.75">
      <c r="B61" s="35" t="e">
        <f t="shared" si="9"/>
        <v>#REF!</v>
      </c>
      <c r="C61" s="35" t="e">
        <f t="shared" si="10"/>
        <v>#REF!</v>
      </c>
      <c r="D61" s="35" t="e">
        <f t="shared" si="0"/>
        <v>#REF!</v>
      </c>
    </row>
    <row r="62" spans="2:4" ht="12.75">
      <c r="B62" s="35" t="e">
        <f t="shared" si="9"/>
        <v>#REF!</v>
      </c>
      <c r="C62" s="35" t="e">
        <f t="shared" si="10"/>
        <v>#REF!</v>
      </c>
      <c r="D62" s="35" t="e">
        <f t="shared" si="0"/>
        <v>#REF!</v>
      </c>
    </row>
    <row r="63" spans="2:4" ht="12.75">
      <c r="B63" s="35" t="e">
        <f t="shared" si="9"/>
        <v>#REF!</v>
      </c>
      <c r="C63" s="35" t="e">
        <f t="shared" si="10"/>
        <v>#REF!</v>
      </c>
      <c r="D63" s="35" t="e">
        <f t="shared" si="0"/>
        <v>#REF!</v>
      </c>
    </row>
    <row r="64" spans="2:4" ht="12.75">
      <c r="B64" s="35" t="e">
        <f t="shared" si="9"/>
        <v>#REF!</v>
      </c>
      <c r="C64" s="35" t="e">
        <f t="shared" si="10"/>
        <v>#REF!</v>
      </c>
      <c r="D64" s="35" t="e">
        <f t="shared" si="0"/>
        <v>#REF!</v>
      </c>
    </row>
    <row r="65" spans="2:4" ht="12.75">
      <c r="B65" s="35" t="e">
        <f t="shared" si="9"/>
        <v>#REF!</v>
      </c>
      <c r="C65" s="35" t="e">
        <f t="shared" si="10"/>
        <v>#REF!</v>
      </c>
      <c r="D65" s="35" t="e">
        <f t="shared" si="0"/>
        <v>#REF!</v>
      </c>
    </row>
    <row r="66" spans="2:4" ht="12.75">
      <c r="B66" s="35" t="e">
        <f t="shared" si="9"/>
        <v>#REF!</v>
      </c>
      <c r="C66" s="35" t="e">
        <f t="shared" si="10"/>
        <v>#REF!</v>
      </c>
      <c r="D66" s="35" t="e">
        <f t="shared" si="0"/>
        <v>#REF!</v>
      </c>
    </row>
    <row r="67" spans="2:4" ht="12.75">
      <c r="B67" s="35" t="e">
        <f t="shared" si="9"/>
        <v>#REF!</v>
      </c>
      <c r="C67" s="35" t="e">
        <f t="shared" si="10"/>
        <v>#REF!</v>
      </c>
      <c r="D67" s="35" t="e">
        <f t="shared" si="0"/>
        <v>#REF!</v>
      </c>
    </row>
    <row r="68" spans="2:4" ht="12.75">
      <c r="B68" s="35" t="e">
        <f t="shared" si="9"/>
        <v>#REF!</v>
      </c>
      <c r="C68" s="35" t="e">
        <f t="shared" si="10"/>
        <v>#REF!</v>
      </c>
      <c r="D68" s="35" t="e">
        <f t="shared" si="0"/>
        <v>#REF!</v>
      </c>
    </row>
    <row r="69" spans="2:4" ht="12.75">
      <c r="B69" s="35" t="e">
        <f t="shared" si="9"/>
        <v>#REF!</v>
      </c>
      <c r="C69" s="35" t="e">
        <f t="shared" si="10"/>
        <v>#REF!</v>
      </c>
      <c r="D69" s="35" t="e">
        <f t="shared" si="0"/>
        <v>#REF!</v>
      </c>
    </row>
    <row r="70" spans="2:4" ht="12.75">
      <c r="B70" s="35" t="e">
        <f t="shared" si="9"/>
        <v>#REF!</v>
      </c>
      <c r="C70" s="35" t="e">
        <f t="shared" si="10"/>
        <v>#REF!</v>
      </c>
      <c r="D70" s="35" t="e">
        <f t="shared" si="0"/>
        <v>#REF!</v>
      </c>
    </row>
    <row r="71" spans="2:4" ht="12.75">
      <c r="B71" s="35" t="e">
        <f t="shared" si="9"/>
        <v>#REF!</v>
      </c>
      <c r="C71" s="35" t="e">
        <f t="shared" si="10"/>
        <v>#REF!</v>
      </c>
      <c r="D71" s="35" t="e">
        <f t="shared" si="0"/>
        <v>#REF!</v>
      </c>
    </row>
    <row r="72" spans="2:4" ht="12.75">
      <c r="B72" s="35" t="e">
        <f t="shared" si="9"/>
        <v>#REF!</v>
      </c>
      <c r="C72" s="35" t="e">
        <f t="shared" si="10"/>
        <v>#REF!</v>
      </c>
      <c r="D72" s="35" t="e">
        <f t="shared" si="0"/>
        <v>#REF!</v>
      </c>
    </row>
    <row r="73" spans="2:4" ht="12.75">
      <c r="B73" s="35" t="e">
        <f t="shared" si="9"/>
        <v>#REF!</v>
      </c>
      <c r="C73" s="35" t="e">
        <f t="shared" si="10"/>
        <v>#REF!</v>
      </c>
      <c r="D73" s="35" t="e">
        <f t="shared" si="0"/>
        <v>#REF!</v>
      </c>
    </row>
    <row r="74" spans="2:4" ht="12.75">
      <c r="B74" s="35" t="e">
        <f t="shared" si="9"/>
        <v>#REF!</v>
      </c>
      <c r="C74" s="35" t="e">
        <f t="shared" si="10"/>
        <v>#REF!</v>
      </c>
      <c r="D74" s="35" t="e">
        <f t="shared" si="0"/>
        <v>#REF!</v>
      </c>
    </row>
    <row r="75" spans="2:4" ht="12.75">
      <c r="B75" s="35" t="e">
        <f t="shared" si="9"/>
        <v>#REF!</v>
      </c>
      <c r="C75" s="35" t="e">
        <f t="shared" si="10"/>
        <v>#REF!</v>
      </c>
      <c r="D75" s="35" t="e">
        <f t="shared" si="0"/>
        <v>#REF!</v>
      </c>
    </row>
    <row r="76" spans="2:4" ht="12.75">
      <c r="B76" s="35" t="e">
        <f t="shared" si="9"/>
        <v>#REF!</v>
      </c>
      <c r="C76" s="35" t="e">
        <f t="shared" si="10"/>
        <v>#REF!</v>
      </c>
      <c r="D76" s="35" t="e">
        <f t="shared" si="0"/>
        <v>#REF!</v>
      </c>
    </row>
    <row r="77" spans="2:4" ht="12.75">
      <c r="B77" s="35" t="e">
        <f t="shared" si="9"/>
        <v>#REF!</v>
      </c>
      <c r="C77" s="35" t="e">
        <f t="shared" si="10"/>
        <v>#REF!</v>
      </c>
      <c r="D77" s="35" t="e">
        <f t="shared" si="0"/>
        <v>#REF!</v>
      </c>
    </row>
    <row r="78" spans="2:4" ht="12.75">
      <c r="B78" s="35" t="e">
        <f t="shared" si="9"/>
        <v>#REF!</v>
      </c>
      <c r="C78" s="35" t="e">
        <f t="shared" si="10"/>
        <v>#REF!</v>
      </c>
      <c r="D78" s="35" t="e">
        <f t="shared" si="0"/>
        <v>#REF!</v>
      </c>
    </row>
    <row r="79" spans="2:4" ht="12.75">
      <c r="B79" s="35" t="e">
        <f t="shared" si="9"/>
        <v>#REF!</v>
      </c>
      <c r="C79" s="35" t="e">
        <f t="shared" si="10"/>
        <v>#REF!</v>
      </c>
      <c r="D79" s="35" t="e">
        <f t="shared" si="0"/>
        <v>#REF!</v>
      </c>
    </row>
    <row r="80" spans="2:4" ht="12.75">
      <c r="B80" s="35" t="e">
        <f t="shared" si="9"/>
        <v>#REF!</v>
      </c>
      <c r="C80" s="35" t="e">
        <f t="shared" si="10"/>
        <v>#REF!</v>
      </c>
      <c r="D80" s="35" t="e">
        <f t="shared" si="0"/>
        <v>#REF!</v>
      </c>
    </row>
    <row r="81" spans="2:4" ht="12.75">
      <c r="B81" s="35" t="e">
        <f t="shared" si="9"/>
        <v>#REF!</v>
      </c>
      <c r="C81" s="35" t="e">
        <f t="shared" si="10"/>
        <v>#REF!</v>
      </c>
      <c r="D81" s="35" t="e">
        <f t="shared" si="0"/>
        <v>#REF!</v>
      </c>
    </row>
    <row r="82" spans="2:4" ht="12.75">
      <c r="B82" s="35" t="e">
        <f t="shared" si="9"/>
        <v>#REF!</v>
      </c>
      <c r="C82" s="35" t="e">
        <f t="shared" si="10"/>
        <v>#REF!</v>
      </c>
      <c r="D82" s="35" t="e">
        <f t="shared" si="0"/>
        <v>#REF!</v>
      </c>
    </row>
    <row r="83" spans="2:4" ht="12.75">
      <c r="B83" s="35" t="e">
        <f t="shared" si="9"/>
        <v>#REF!</v>
      </c>
      <c r="C83" s="35" t="e">
        <f t="shared" si="10"/>
        <v>#REF!</v>
      </c>
      <c r="D83" s="35" t="e">
        <f t="shared" si="0"/>
        <v>#REF!</v>
      </c>
    </row>
    <row r="84" spans="2:4" ht="12.75">
      <c r="B84" s="35" t="e">
        <f t="shared" si="9"/>
        <v>#REF!</v>
      </c>
      <c r="C84" s="35" t="e">
        <f t="shared" si="10"/>
        <v>#REF!</v>
      </c>
      <c r="D84" s="35" t="e">
        <f t="shared" si="0"/>
        <v>#REF!</v>
      </c>
    </row>
    <row r="85" spans="2:4" ht="12.75">
      <c r="B85" s="35" t="e">
        <f t="shared" si="9"/>
        <v>#REF!</v>
      </c>
      <c r="C85" s="35" t="e">
        <f t="shared" si="10"/>
        <v>#REF!</v>
      </c>
      <c r="D85" s="35" t="e">
        <f t="shared" si="0"/>
        <v>#REF!</v>
      </c>
    </row>
    <row r="86" spans="2:4" ht="12.75">
      <c r="B86" s="35" t="e">
        <f t="shared" si="9"/>
        <v>#REF!</v>
      </c>
      <c r="C86" s="35" t="e">
        <f t="shared" si="10"/>
        <v>#REF!</v>
      </c>
      <c r="D86" s="35" t="e">
        <f t="shared" si="0"/>
        <v>#REF!</v>
      </c>
    </row>
    <row r="87" spans="2:4" ht="12.75">
      <c r="B87" s="35" t="e">
        <f t="shared" si="9"/>
        <v>#REF!</v>
      </c>
      <c r="C87" s="35" t="e">
        <f t="shared" si="10"/>
        <v>#REF!</v>
      </c>
      <c r="D87" s="35" t="e">
        <f t="shared" si="0"/>
        <v>#REF!</v>
      </c>
    </row>
    <row r="88" spans="2:4" ht="12.75">
      <c r="B88" s="35" t="e">
        <f t="shared" si="9"/>
        <v>#REF!</v>
      </c>
      <c r="C88" s="35" t="e">
        <f t="shared" si="10"/>
        <v>#REF!</v>
      </c>
      <c r="D88" s="35" t="e">
        <f t="shared" si="0"/>
        <v>#REF!</v>
      </c>
    </row>
    <row r="89" spans="2:4" ht="12.75">
      <c r="B89" s="35" t="e">
        <f t="shared" si="9"/>
        <v>#REF!</v>
      </c>
      <c r="C89" s="35" t="e">
        <f t="shared" si="10"/>
        <v>#REF!</v>
      </c>
      <c r="D89" s="35" t="e">
        <f t="shared" si="0"/>
        <v>#REF!</v>
      </c>
    </row>
    <row r="90" spans="2:4" ht="12.75">
      <c r="B90" s="35" t="e">
        <f t="shared" si="9"/>
        <v>#REF!</v>
      </c>
      <c r="C90" s="35" t="e">
        <f t="shared" si="10"/>
        <v>#REF!</v>
      </c>
      <c r="D90" s="35" t="e">
        <f t="shared" si="0"/>
        <v>#REF!</v>
      </c>
    </row>
    <row r="91" spans="2:4" ht="12.75">
      <c r="B91" s="35" t="e">
        <f t="shared" si="9"/>
        <v>#REF!</v>
      </c>
      <c r="C91" s="35" t="e">
        <f t="shared" si="10"/>
        <v>#REF!</v>
      </c>
      <c r="D91" s="35" t="e">
        <f t="shared" si="0"/>
        <v>#REF!</v>
      </c>
    </row>
    <row r="92" spans="2:4" ht="12.75">
      <c r="B92" s="35" t="e">
        <f t="shared" si="9"/>
        <v>#REF!</v>
      </c>
      <c r="C92" s="35" t="e">
        <f t="shared" si="10"/>
        <v>#REF!</v>
      </c>
      <c r="D92" s="35" t="e">
        <f t="shared" si="0"/>
        <v>#REF!</v>
      </c>
    </row>
    <row r="93" spans="2:4" ht="12.75">
      <c r="B93" s="35" t="e">
        <f t="shared" si="9"/>
        <v>#REF!</v>
      </c>
      <c r="C93" s="35" t="e">
        <f t="shared" si="10"/>
        <v>#REF!</v>
      </c>
      <c r="D93" s="35" t="e">
        <f t="shared" si="0"/>
        <v>#REF!</v>
      </c>
    </row>
    <row r="94" spans="2:4" ht="12.75">
      <c r="B94" s="35" t="e">
        <f t="shared" si="9"/>
        <v>#REF!</v>
      </c>
      <c r="C94" s="35" t="e">
        <f t="shared" si="10"/>
        <v>#REF!</v>
      </c>
      <c r="D94" s="35" t="e">
        <f t="shared" si="0"/>
        <v>#REF!</v>
      </c>
    </row>
    <row r="95" spans="2:4" ht="12.75">
      <c r="B95" s="35" t="e">
        <f t="shared" si="9"/>
        <v>#REF!</v>
      </c>
      <c r="C95" s="35" t="e">
        <f t="shared" si="10"/>
        <v>#REF!</v>
      </c>
      <c r="D95" s="35" t="e">
        <f t="shared" si="0"/>
        <v>#REF!</v>
      </c>
    </row>
    <row r="96" spans="2:4" ht="12.75">
      <c r="B96" s="35" t="e">
        <f t="shared" si="9"/>
        <v>#REF!</v>
      </c>
      <c r="C96" s="35" t="e">
        <f t="shared" si="10"/>
        <v>#REF!</v>
      </c>
      <c r="D96" s="35" t="e">
        <f t="shared" si="0"/>
        <v>#REF!</v>
      </c>
    </row>
    <row r="97" spans="2:4" ht="12.75">
      <c r="B97" s="35" t="e">
        <f t="shared" si="9"/>
        <v>#REF!</v>
      </c>
      <c r="C97" s="35" t="e">
        <f t="shared" si="10"/>
        <v>#REF!</v>
      </c>
      <c r="D97" s="35" t="e">
        <f t="shared" si="0"/>
        <v>#REF!</v>
      </c>
    </row>
    <row r="98" spans="2:4" ht="12.75">
      <c r="B98" s="35" t="e">
        <f t="shared" si="9"/>
        <v>#REF!</v>
      </c>
      <c r="C98" s="35" t="e">
        <f t="shared" si="10"/>
        <v>#REF!</v>
      </c>
      <c r="D98" s="35" t="e">
        <f t="shared" si="0"/>
        <v>#REF!</v>
      </c>
    </row>
    <row r="99" spans="2:4" ht="12.75">
      <c r="B99" s="35" t="e">
        <f t="shared" si="9"/>
        <v>#REF!</v>
      </c>
      <c r="C99" s="35" t="e">
        <f t="shared" si="10"/>
        <v>#REF!</v>
      </c>
      <c r="D99" s="35" t="e">
        <f t="shared" si="0"/>
        <v>#REF!</v>
      </c>
    </row>
  </sheetData>
  <mergeCells count="2">
    <mergeCell ref="G6:H6"/>
    <mergeCell ref="H9:J9"/>
  </mergeCells>
  <dataValidations count="1">
    <dataValidation type="list" allowBlank="1" sqref="A2:A99">
      <formula1>priortization!$A$1:$A$91</formula1>
    </dataValidation>
  </dataValidation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T54"/>
  <sheetViews>
    <sheetView workbookViewId="0" topLeftCell="A1">
      <pane ySplit="1" topLeftCell="A2" activePane="bottomLeft" state="frozen"/>
      <selection pane="bottomLeft" activeCell="B3" sqref="B3"/>
    </sheetView>
  </sheetViews>
  <sheetFormatPr defaultColWidth="14.421875" defaultRowHeight="12.75" customHeight="1"/>
  <cols>
    <col min="1" max="1" width="54.8515625" style="0" customWidth="1"/>
    <col min="2" max="2" width="6.8515625" style="0" customWidth="1"/>
    <col min="3" max="3" width="8.00390625" style="0" customWidth="1"/>
    <col min="4" max="4" width="7.7109375" style="0" customWidth="1"/>
    <col min="5" max="5" width="17.28125" style="0" customWidth="1"/>
    <col min="6" max="6" width="9.00390625" style="0" customWidth="1"/>
    <col min="7" max="7" width="7.421875" style="0" customWidth="1"/>
    <col min="8" max="20" width="17.28125" style="0" customWidth="1"/>
  </cols>
  <sheetData>
    <row r="1" spans="1:20" ht="12.75">
      <c r="A1" s="3" t="s">
        <v>18</v>
      </c>
      <c r="B1" s="3" t="s">
        <v>19</v>
      </c>
      <c r="C1" s="3" t="s">
        <v>20</v>
      </c>
      <c r="D1" s="3" t="s">
        <v>21</v>
      </c>
      <c r="E1" s="10"/>
      <c r="F1" s="10"/>
      <c r="G1" s="10"/>
      <c r="H1" s="10"/>
      <c r="I1" s="10"/>
      <c r="J1" s="10"/>
      <c r="K1" s="10"/>
      <c r="L1" s="10"/>
      <c r="M1" s="10"/>
      <c r="N1" s="10"/>
      <c r="O1" s="10"/>
      <c r="P1" s="10"/>
      <c r="Q1" s="10"/>
      <c r="R1" s="10"/>
      <c r="S1" s="10"/>
      <c r="T1" s="10"/>
    </row>
    <row r="2" spans="1:4" ht="12.75">
      <c r="A2" s="13" t="s">
        <v>298</v>
      </c>
      <c r="B2" s="13" t="s">
        <v>309</v>
      </c>
      <c r="C2" s="13" t="s">
        <v>96</v>
      </c>
      <c r="D2" s="35" t="e">
        <f aca="true" t="shared" si="0" ref="D2:D54">IF(OR(C2="Fill in.",C2=""),"Get Size",VLOOKUP(C2,#REF!,4,FALSE))</f>
        <v>#REF!</v>
      </c>
    </row>
    <row r="3" spans="1:4" ht="12.75">
      <c r="A3" s="13" t="s">
        <v>315</v>
      </c>
      <c r="B3" s="13" t="s">
        <v>309</v>
      </c>
      <c r="C3" s="13" t="s">
        <v>101</v>
      </c>
      <c r="D3" s="35" t="e">
        <f t="shared" si="0"/>
        <v>#REF!</v>
      </c>
    </row>
    <row r="4" spans="1:4" ht="12.75">
      <c r="A4" s="13" t="s">
        <v>316</v>
      </c>
      <c r="B4" s="13" t="s">
        <v>309</v>
      </c>
      <c r="C4" s="13" t="s">
        <v>96</v>
      </c>
      <c r="D4" s="35" t="e">
        <f t="shared" si="0"/>
        <v>#REF!</v>
      </c>
    </row>
    <row r="5" spans="1:4" ht="12.75">
      <c r="A5" s="13" t="s">
        <v>319</v>
      </c>
      <c r="B5" s="13" t="s">
        <v>309</v>
      </c>
      <c r="C5" s="13" t="s">
        <v>96</v>
      </c>
      <c r="D5" s="35" t="e">
        <f t="shared" si="0"/>
        <v>#REF!</v>
      </c>
    </row>
    <row r="6" spans="2:7" ht="12.75">
      <c r="B6" s="35" t="e">
        <f aca="true" t="shared" si="1" ref="B6:B54">IF(ISNA(VLOOKUP(A6,#REF!,10,FALSE)),IF(ISNA(VLOOKUP(A6,#REF!,10,FALSE)),"Fill in.",VLOOKUP(A6,#REF!,10,FALSE)),VLOOKUP(A6,#REF!,10,FALSE))</f>
        <v>#REF!</v>
      </c>
      <c r="C6" s="35" t="e">
        <f aca="true" t="shared" si="2" ref="C6:C54">IF(ISNA(VLOOKUP(A6,#REF!,4,FALSE)),IF(ISNA(VLOOKUP(A6,#REF!,4,FALSE)),"Fill in.",VLOOKUP(A6,#REF!,4,FALSE)),VLOOKUP(A6,#REF!,4,FALSE))</f>
        <v>#REF!</v>
      </c>
      <c r="D6" s="35" t="e">
        <f t="shared" si="0"/>
        <v>#REF!</v>
      </c>
      <c r="F6" s="105"/>
      <c r="G6" s="13" t="s">
        <v>330</v>
      </c>
    </row>
    <row r="7" spans="2:4" ht="12.75">
      <c r="B7" s="35" t="e">
        <f t="shared" si="1"/>
        <v>#REF!</v>
      </c>
      <c r="C7" s="35" t="e">
        <f t="shared" si="2"/>
        <v>#REF!</v>
      </c>
      <c r="D7" s="35" t="e">
        <f t="shared" si="0"/>
        <v>#REF!</v>
      </c>
    </row>
    <row r="8" spans="2:4" ht="12.75">
      <c r="B8" s="35" t="e">
        <f t="shared" si="1"/>
        <v>#REF!</v>
      </c>
      <c r="C8" s="35" t="e">
        <f t="shared" si="2"/>
        <v>#REF!</v>
      </c>
      <c r="D8" s="35" t="e">
        <f t="shared" si="0"/>
        <v>#REF!</v>
      </c>
    </row>
    <row r="9" spans="2:4" ht="12.75">
      <c r="B9" s="35" t="e">
        <f t="shared" si="1"/>
        <v>#REF!</v>
      </c>
      <c r="C9" s="35" t="e">
        <f t="shared" si="2"/>
        <v>#REF!</v>
      </c>
      <c r="D9" s="35" t="e">
        <f t="shared" si="0"/>
        <v>#REF!</v>
      </c>
    </row>
    <row r="10" spans="2:4" ht="12.75">
      <c r="B10" s="35" t="e">
        <f t="shared" si="1"/>
        <v>#REF!</v>
      </c>
      <c r="C10" s="35" t="e">
        <f t="shared" si="2"/>
        <v>#REF!</v>
      </c>
      <c r="D10" s="35" t="e">
        <f t="shared" si="0"/>
        <v>#REF!</v>
      </c>
    </row>
    <row r="11" spans="2:4" ht="12.75">
      <c r="B11" s="35" t="e">
        <f t="shared" si="1"/>
        <v>#REF!</v>
      </c>
      <c r="C11" s="35" t="e">
        <f t="shared" si="2"/>
        <v>#REF!</v>
      </c>
      <c r="D11" s="35" t="e">
        <f t="shared" si="0"/>
        <v>#REF!</v>
      </c>
    </row>
    <row r="12" spans="2:4" ht="12.75">
      <c r="B12" s="35" t="e">
        <f t="shared" si="1"/>
        <v>#REF!</v>
      </c>
      <c r="C12" s="35" t="e">
        <f t="shared" si="2"/>
        <v>#REF!</v>
      </c>
      <c r="D12" s="35" t="e">
        <f t="shared" si="0"/>
        <v>#REF!</v>
      </c>
    </row>
    <row r="13" spans="2:4" ht="12.75">
      <c r="B13" s="35" t="e">
        <f t="shared" si="1"/>
        <v>#REF!</v>
      </c>
      <c r="C13" s="35" t="e">
        <f t="shared" si="2"/>
        <v>#REF!</v>
      </c>
      <c r="D13" s="35" t="e">
        <f t="shared" si="0"/>
        <v>#REF!</v>
      </c>
    </row>
    <row r="14" spans="2:4" ht="12.75">
      <c r="B14" s="35" t="e">
        <f t="shared" si="1"/>
        <v>#REF!</v>
      </c>
      <c r="C14" s="35" t="e">
        <f t="shared" si="2"/>
        <v>#REF!</v>
      </c>
      <c r="D14" s="35" t="e">
        <f t="shared" si="0"/>
        <v>#REF!</v>
      </c>
    </row>
    <row r="15" spans="2:4" ht="12.75">
      <c r="B15" s="35" t="e">
        <f t="shared" si="1"/>
        <v>#REF!</v>
      </c>
      <c r="C15" s="35" t="e">
        <f t="shared" si="2"/>
        <v>#REF!</v>
      </c>
      <c r="D15" s="35" t="e">
        <f t="shared" si="0"/>
        <v>#REF!</v>
      </c>
    </row>
    <row r="16" spans="2:4" ht="12.75">
      <c r="B16" s="35" t="e">
        <f t="shared" si="1"/>
        <v>#REF!</v>
      </c>
      <c r="C16" s="35" t="e">
        <f t="shared" si="2"/>
        <v>#REF!</v>
      </c>
      <c r="D16" s="35" t="e">
        <f t="shared" si="0"/>
        <v>#REF!</v>
      </c>
    </row>
    <row r="17" spans="2:4" ht="12.75">
      <c r="B17" s="35" t="e">
        <f t="shared" si="1"/>
        <v>#REF!</v>
      </c>
      <c r="C17" s="35" t="e">
        <f t="shared" si="2"/>
        <v>#REF!</v>
      </c>
      <c r="D17" s="35" t="e">
        <f t="shared" si="0"/>
        <v>#REF!</v>
      </c>
    </row>
    <row r="18" spans="2:4" ht="12.75">
      <c r="B18" s="35" t="e">
        <f t="shared" si="1"/>
        <v>#REF!</v>
      </c>
      <c r="C18" s="35" t="e">
        <f t="shared" si="2"/>
        <v>#REF!</v>
      </c>
      <c r="D18" s="35" t="e">
        <f t="shared" si="0"/>
        <v>#REF!</v>
      </c>
    </row>
    <row r="19" spans="2:4" ht="12.75">
      <c r="B19" s="35" t="e">
        <f t="shared" si="1"/>
        <v>#REF!</v>
      </c>
      <c r="C19" s="35" t="e">
        <f t="shared" si="2"/>
        <v>#REF!</v>
      </c>
      <c r="D19" s="35" t="e">
        <f t="shared" si="0"/>
        <v>#REF!</v>
      </c>
    </row>
    <row r="20" spans="2:4" ht="12.75">
      <c r="B20" s="35" t="e">
        <f t="shared" si="1"/>
        <v>#REF!</v>
      </c>
      <c r="C20" s="35" t="e">
        <f t="shared" si="2"/>
        <v>#REF!</v>
      </c>
      <c r="D20" s="35" t="e">
        <f t="shared" si="0"/>
        <v>#REF!</v>
      </c>
    </row>
    <row r="21" spans="2:4" ht="12.75">
      <c r="B21" s="35" t="e">
        <f t="shared" si="1"/>
        <v>#REF!</v>
      </c>
      <c r="C21" s="35" t="e">
        <f t="shared" si="2"/>
        <v>#REF!</v>
      </c>
      <c r="D21" s="35" t="e">
        <f t="shared" si="0"/>
        <v>#REF!</v>
      </c>
    </row>
    <row r="22" spans="2:4" ht="12.75">
      <c r="B22" s="35" t="e">
        <f t="shared" si="1"/>
        <v>#REF!</v>
      </c>
      <c r="C22" s="35" t="e">
        <f t="shared" si="2"/>
        <v>#REF!</v>
      </c>
      <c r="D22" s="35" t="e">
        <f t="shared" si="0"/>
        <v>#REF!</v>
      </c>
    </row>
    <row r="23" spans="2:4" ht="12.75">
      <c r="B23" s="35" t="e">
        <f t="shared" si="1"/>
        <v>#REF!</v>
      </c>
      <c r="C23" s="35" t="e">
        <f t="shared" si="2"/>
        <v>#REF!</v>
      </c>
      <c r="D23" s="35" t="e">
        <f t="shared" si="0"/>
        <v>#REF!</v>
      </c>
    </row>
    <row r="24" spans="2:4" ht="12.75">
      <c r="B24" s="35" t="e">
        <f t="shared" si="1"/>
        <v>#REF!</v>
      </c>
      <c r="C24" s="35" t="e">
        <f t="shared" si="2"/>
        <v>#REF!</v>
      </c>
      <c r="D24" s="35" t="e">
        <f t="shared" si="0"/>
        <v>#REF!</v>
      </c>
    </row>
    <row r="25" spans="2:4" ht="12.75">
      <c r="B25" s="35" t="e">
        <f t="shared" si="1"/>
        <v>#REF!</v>
      </c>
      <c r="C25" s="35" t="e">
        <f t="shared" si="2"/>
        <v>#REF!</v>
      </c>
      <c r="D25" s="35" t="e">
        <f t="shared" si="0"/>
        <v>#REF!</v>
      </c>
    </row>
    <row r="26" spans="2:4" ht="12.75">
      <c r="B26" s="35" t="e">
        <f t="shared" si="1"/>
        <v>#REF!</v>
      </c>
      <c r="C26" s="35" t="e">
        <f t="shared" si="2"/>
        <v>#REF!</v>
      </c>
      <c r="D26" s="35" t="e">
        <f t="shared" si="0"/>
        <v>#REF!</v>
      </c>
    </row>
    <row r="27" spans="2:4" ht="12.75">
      <c r="B27" s="35" t="e">
        <f t="shared" si="1"/>
        <v>#REF!</v>
      </c>
      <c r="C27" s="35" t="e">
        <f t="shared" si="2"/>
        <v>#REF!</v>
      </c>
      <c r="D27" s="35" t="e">
        <f t="shared" si="0"/>
        <v>#REF!</v>
      </c>
    </row>
    <row r="28" spans="2:4" ht="12.75">
      <c r="B28" s="35" t="e">
        <f t="shared" si="1"/>
        <v>#REF!</v>
      </c>
      <c r="C28" s="35" t="e">
        <f t="shared" si="2"/>
        <v>#REF!</v>
      </c>
      <c r="D28" s="35" t="e">
        <f t="shared" si="0"/>
        <v>#REF!</v>
      </c>
    </row>
    <row r="29" spans="2:4" ht="12.75">
      <c r="B29" s="35" t="e">
        <f t="shared" si="1"/>
        <v>#REF!</v>
      </c>
      <c r="C29" s="35" t="e">
        <f t="shared" si="2"/>
        <v>#REF!</v>
      </c>
      <c r="D29" s="35" t="e">
        <f t="shared" si="0"/>
        <v>#REF!</v>
      </c>
    </row>
    <row r="30" spans="2:4" ht="12.75">
      <c r="B30" s="35" t="e">
        <f t="shared" si="1"/>
        <v>#REF!</v>
      </c>
      <c r="C30" s="35" t="e">
        <f t="shared" si="2"/>
        <v>#REF!</v>
      </c>
      <c r="D30" s="35" t="e">
        <f t="shared" si="0"/>
        <v>#REF!</v>
      </c>
    </row>
    <row r="31" spans="2:4" ht="12.75">
      <c r="B31" s="35" t="e">
        <f t="shared" si="1"/>
        <v>#REF!</v>
      </c>
      <c r="C31" s="35" t="e">
        <f t="shared" si="2"/>
        <v>#REF!</v>
      </c>
      <c r="D31" s="35" t="e">
        <f t="shared" si="0"/>
        <v>#REF!</v>
      </c>
    </row>
    <row r="32" spans="2:4" ht="12.75">
      <c r="B32" s="35" t="e">
        <f t="shared" si="1"/>
        <v>#REF!</v>
      </c>
      <c r="C32" s="35" t="e">
        <f t="shared" si="2"/>
        <v>#REF!</v>
      </c>
      <c r="D32" s="35" t="e">
        <f t="shared" si="0"/>
        <v>#REF!</v>
      </c>
    </row>
    <row r="33" spans="2:4" ht="12.75">
      <c r="B33" s="35" t="e">
        <f t="shared" si="1"/>
        <v>#REF!</v>
      </c>
      <c r="C33" s="35" t="e">
        <f t="shared" si="2"/>
        <v>#REF!</v>
      </c>
      <c r="D33" s="35" t="e">
        <f t="shared" si="0"/>
        <v>#REF!</v>
      </c>
    </row>
    <row r="34" spans="2:4" ht="12.75">
      <c r="B34" s="35" t="e">
        <f t="shared" si="1"/>
        <v>#REF!</v>
      </c>
      <c r="C34" s="35" t="e">
        <f t="shared" si="2"/>
        <v>#REF!</v>
      </c>
      <c r="D34" s="35" t="e">
        <f t="shared" si="0"/>
        <v>#REF!</v>
      </c>
    </row>
    <row r="35" spans="2:4" ht="12.75">
      <c r="B35" s="35" t="e">
        <f t="shared" si="1"/>
        <v>#REF!</v>
      </c>
      <c r="C35" s="35" t="e">
        <f t="shared" si="2"/>
        <v>#REF!</v>
      </c>
      <c r="D35" s="35" t="e">
        <f t="shared" si="0"/>
        <v>#REF!</v>
      </c>
    </row>
    <row r="36" spans="2:4" ht="12.75">
      <c r="B36" s="35" t="e">
        <f t="shared" si="1"/>
        <v>#REF!</v>
      </c>
      <c r="C36" s="35" t="e">
        <f t="shared" si="2"/>
        <v>#REF!</v>
      </c>
      <c r="D36" s="35" t="e">
        <f t="shared" si="0"/>
        <v>#REF!</v>
      </c>
    </row>
    <row r="37" spans="2:4" ht="12.75">
      <c r="B37" s="35" t="e">
        <f t="shared" si="1"/>
        <v>#REF!</v>
      </c>
      <c r="C37" s="35" t="e">
        <f t="shared" si="2"/>
        <v>#REF!</v>
      </c>
      <c r="D37" s="35" t="e">
        <f t="shared" si="0"/>
        <v>#REF!</v>
      </c>
    </row>
    <row r="38" spans="2:4" ht="12.75">
      <c r="B38" s="35" t="e">
        <f t="shared" si="1"/>
        <v>#REF!</v>
      </c>
      <c r="C38" s="35" t="e">
        <f t="shared" si="2"/>
        <v>#REF!</v>
      </c>
      <c r="D38" s="35" t="e">
        <f t="shared" si="0"/>
        <v>#REF!</v>
      </c>
    </row>
    <row r="39" spans="2:4" ht="12.75">
      <c r="B39" s="35" t="e">
        <f t="shared" si="1"/>
        <v>#REF!</v>
      </c>
      <c r="C39" s="35" t="e">
        <f t="shared" si="2"/>
        <v>#REF!</v>
      </c>
      <c r="D39" s="35" t="e">
        <f t="shared" si="0"/>
        <v>#REF!</v>
      </c>
    </row>
    <row r="40" spans="2:4" ht="12.75">
      <c r="B40" s="35" t="e">
        <f t="shared" si="1"/>
        <v>#REF!</v>
      </c>
      <c r="C40" s="35" t="e">
        <f t="shared" si="2"/>
        <v>#REF!</v>
      </c>
      <c r="D40" s="35" t="e">
        <f t="shared" si="0"/>
        <v>#REF!</v>
      </c>
    </row>
    <row r="41" spans="2:4" ht="12.75">
      <c r="B41" s="35" t="e">
        <f t="shared" si="1"/>
        <v>#REF!</v>
      </c>
      <c r="C41" s="35" t="e">
        <f t="shared" si="2"/>
        <v>#REF!</v>
      </c>
      <c r="D41" s="35" t="e">
        <f t="shared" si="0"/>
        <v>#REF!</v>
      </c>
    </row>
    <row r="42" spans="2:4" ht="12.75">
      <c r="B42" s="35" t="e">
        <f t="shared" si="1"/>
        <v>#REF!</v>
      </c>
      <c r="C42" s="35" t="e">
        <f t="shared" si="2"/>
        <v>#REF!</v>
      </c>
      <c r="D42" s="35" t="e">
        <f t="shared" si="0"/>
        <v>#REF!</v>
      </c>
    </row>
    <row r="43" spans="2:4" ht="12.75">
      <c r="B43" s="35" t="e">
        <f t="shared" si="1"/>
        <v>#REF!</v>
      </c>
      <c r="C43" s="35" t="e">
        <f t="shared" si="2"/>
        <v>#REF!</v>
      </c>
      <c r="D43" s="35" t="e">
        <f t="shared" si="0"/>
        <v>#REF!</v>
      </c>
    </row>
    <row r="44" spans="2:4" ht="12.75">
      <c r="B44" s="35" t="e">
        <f t="shared" si="1"/>
        <v>#REF!</v>
      </c>
      <c r="C44" s="35" t="e">
        <f t="shared" si="2"/>
        <v>#REF!</v>
      </c>
      <c r="D44" s="35" t="e">
        <f t="shared" si="0"/>
        <v>#REF!</v>
      </c>
    </row>
    <row r="45" spans="2:4" ht="12.75">
      <c r="B45" s="35" t="e">
        <f t="shared" si="1"/>
        <v>#REF!</v>
      </c>
      <c r="C45" s="35" t="e">
        <f t="shared" si="2"/>
        <v>#REF!</v>
      </c>
      <c r="D45" s="35" t="e">
        <f t="shared" si="0"/>
        <v>#REF!</v>
      </c>
    </row>
    <row r="46" spans="2:4" ht="12.75">
      <c r="B46" s="35" t="e">
        <f t="shared" si="1"/>
        <v>#REF!</v>
      </c>
      <c r="C46" s="35" t="e">
        <f t="shared" si="2"/>
        <v>#REF!</v>
      </c>
      <c r="D46" s="35" t="e">
        <f t="shared" si="0"/>
        <v>#REF!</v>
      </c>
    </row>
    <row r="47" spans="2:4" ht="12.75">
      <c r="B47" s="35" t="e">
        <f t="shared" si="1"/>
        <v>#REF!</v>
      </c>
      <c r="C47" s="35" t="e">
        <f t="shared" si="2"/>
        <v>#REF!</v>
      </c>
      <c r="D47" s="35" t="e">
        <f t="shared" si="0"/>
        <v>#REF!</v>
      </c>
    </row>
    <row r="48" spans="2:4" ht="12.75">
      <c r="B48" s="35" t="e">
        <f t="shared" si="1"/>
        <v>#REF!</v>
      </c>
      <c r="C48" s="35" t="e">
        <f t="shared" si="2"/>
        <v>#REF!</v>
      </c>
      <c r="D48" s="35" t="e">
        <f t="shared" si="0"/>
        <v>#REF!</v>
      </c>
    </row>
    <row r="49" spans="2:4" ht="12.75">
      <c r="B49" s="35" t="e">
        <f t="shared" si="1"/>
        <v>#REF!</v>
      </c>
      <c r="C49" s="35" t="e">
        <f t="shared" si="2"/>
        <v>#REF!</v>
      </c>
      <c r="D49" s="35" t="e">
        <f t="shared" si="0"/>
        <v>#REF!</v>
      </c>
    </row>
    <row r="50" spans="2:4" ht="12.75">
      <c r="B50" s="35" t="e">
        <f t="shared" si="1"/>
        <v>#REF!</v>
      </c>
      <c r="C50" s="35" t="e">
        <f t="shared" si="2"/>
        <v>#REF!</v>
      </c>
      <c r="D50" s="35" t="e">
        <f t="shared" si="0"/>
        <v>#REF!</v>
      </c>
    </row>
    <row r="51" spans="2:4" ht="12.75">
      <c r="B51" s="35" t="e">
        <f t="shared" si="1"/>
        <v>#REF!</v>
      </c>
      <c r="C51" s="35" t="e">
        <f t="shared" si="2"/>
        <v>#REF!</v>
      </c>
      <c r="D51" s="35" t="e">
        <f t="shared" si="0"/>
        <v>#REF!</v>
      </c>
    </row>
    <row r="52" spans="2:4" ht="12.75">
      <c r="B52" s="35" t="e">
        <f t="shared" si="1"/>
        <v>#REF!</v>
      </c>
      <c r="C52" s="35" t="e">
        <f t="shared" si="2"/>
        <v>#REF!</v>
      </c>
      <c r="D52" s="35" t="e">
        <f t="shared" si="0"/>
        <v>#REF!</v>
      </c>
    </row>
    <row r="53" spans="2:4" ht="12.75">
      <c r="B53" s="35" t="e">
        <f t="shared" si="1"/>
        <v>#REF!</v>
      </c>
      <c r="C53" s="35" t="e">
        <f t="shared" si="2"/>
        <v>#REF!</v>
      </c>
      <c r="D53" s="35" t="e">
        <f t="shared" si="0"/>
        <v>#REF!</v>
      </c>
    </row>
    <row r="54" spans="2:4" ht="12.75">
      <c r="B54" s="35" t="e">
        <f t="shared" si="1"/>
        <v>#REF!</v>
      </c>
      <c r="C54" s="35" t="e">
        <f t="shared" si="2"/>
        <v>#REF!</v>
      </c>
      <c r="D54" s="35" t="e">
        <f t="shared" si="0"/>
        <v>#REF!</v>
      </c>
    </row>
  </sheetData>
  <mergeCells count="1">
    <mergeCell ref="G6:I6"/>
  </mergeCells>
  <dataValidations count="1">
    <dataValidation type="list" allowBlank="1" sqref="A2:A54">
      <formula1>priortization!$A$1:$A$91</formula1>
    </dataValidation>
  </dataValidation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T50"/>
  <sheetViews>
    <sheetView workbookViewId="0" topLeftCell="A1">
      <pane ySplit="1" topLeftCell="A2" activePane="bottomLeft" state="frozen"/>
      <selection pane="bottomLeft" activeCell="B3" sqref="B3"/>
    </sheetView>
  </sheetViews>
  <sheetFormatPr defaultColWidth="14.421875" defaultRowHeight="12.75" customHeight="1"/>
  <cols>
    <col min="1" max="1" width="54.8515625" style="0" customWidth="1"/>
    <col min="2" max="2" width="6.8515625" style="0" customWidth="1"/>
    <col min="3" max="3" width="8.00390625" style="0" customWidth="1"/>
    <col min="4" max="4" width="7.7109375" style="0" customWidth="1"/>
    <col min="5" max="5" width="38.8515625" style="0" customWidth="1"/>
    <col min="6" max="6" width="9.00390625" style="0" customWidth="1"/>
    <col min="7" max="7" width="7.421875" style="0" customWidth="1"/>
    <col min="8" max="20" width="17.28125" style="0" customWidth="1"/>
  </cols>
  <sheetData>
    <row r="1" spans="1:20" ht="12.75">
      <c r="A1" s="3" t="s">
        <v>18</v>
      </c>
      <c r="B1" s="3" t="s">
        <v>19</v>
      </c>
      <c r="C1" s="3" t="s">
        <v>20</v>
      </c>
      <c r="D1" s="3" t="s">
        <v>21</v>
      </c>
      <c r="E1" s="3" t="s">
        <v>23</v>
      </c>
      <c r="F1" s="10"/>
      <c r="G1" s="10"/>
      <c r="H1" s="10"/>
      <c r="I1" s="10"/>
      <c r="J1" s="10"/>
      <c r="K1" s="10"/>
      <c r="L1" s="10"/>
      <c r="M1" s="10"/>
      <c r="N1" s="10"/>
      <c r="O1" s="10"/>
      <c r="P1" s="10"/>
      <c r="Q1" s="10"/>
      <c r="R1" s="10"/>
      <c r="S1" s="10"/>
      <c r="T1" s="10"/>
    </row>
    <row r="2" spans="1:7" ht="12.75">
      <c r="A2" s="86" t="s">
        <v>313</v>
      </c>
      <c r="B2" s="35" t="e">
        <f aca="true" t="shared" si="0" ref="B2:B50">IF(ISNA(VLOOKUP(A2,#REF!,10,FALSE)),IF(ISNA(VLOOKUP(A2,#REF!,10,FALSE)),"Fill in.",VLOOKUP(A2,#REF!,10,FALSE)),VLOOKUP(A2,#REF!,10,FALSE))</f>
        <v>#REF!</v>
      </c>
      <c r="C2" s="35" t="e">
        <f aca="true" t="shared" si="1" ref="C2:C50">IF(ISNA(VLOOKUP(A2,#REF!,4,FALSE)),IF(ISNA(VLOOKUP(A2,#REF!,4,FALSE)),"Fill in.",VLOOKUP(A2,#REF!,4,FALSE)),VLOOKUP(A2,#REF!,4,FALSE))</f>
        <v>#REF!</v>
      </c>
      <c r="D2" s="35" t="e">
        <f aca="true" t="shared" si="2" ref="D2:D50">IF(OR(C2="Fill in.",C2=""),"Get Size",VLOOKUP(C2,#REF!,4,FALSE))</f>
        <v>#REF!</v>
      </c>
      <c r="E2" s="35" t="e">
        <f aca="true" t="shared" si="3" ref="E2:E9">A2&amp;" ("&amp;C2&amp;"="&amp;D2&amp;")"</f>
        <v>#REF!</v>
      </c>
      <c r="F2" s="91" t="e">
        <f>SUM.LEGACY(D2:D9)</f>
        <v>#REF!</v>
      </c>
      <c r="G2" s="13" t="s">
        <v>278</v>
      </c>
    </row>
    <row r="3" spans="1:5" ht="12.75">
      <c r="A3" s="86" t="s">
        <v>326</v>
      </c>
      <c r="B3" s="35" t="e">
        <f t="shared" si="0"/>
        <v>#REF!</v>
      </c>
      <c r="C3" s="35" t="e">
        <f t="shared" si="1"/>
        <v>#REF!</v>
      </c>
      <c r="D3" s="35" t="e">
        <f t="shared" si="2"/>
        <v>#REF!</v>
      </c>
      <c r="E3" s="35" t="e">
        <f t="shared" si="3"/>
        <v>#REF!</v>
      </c>
    </row>
    <row r="4" spans="1:5" ht="12.75">
      <c r="A4" s="13" t="s">
        <v>328</v>
      </c>
      <c r="B4" s="35" t="e">
        <f t="shared" si="0"/>
        <v>#REF!</v>
      </c>
      <c r="C4" s="35" t="e">
        <f t="shared" si="1"/>
        <v>#REF!</v>
      </c>
      <c r="D4" s="35" t="e">
        <f t="shared" si="2"/>
        <v>#REF!</v>
      </c>
      <c r="E4" s="35" t="e">
        <f t="shared" si="3"/>
        <v>#REF!</v>
      </c>
    </row>
    <row r="5" spans="1:5" ht="12.75">
      <c r="A5" s="13" t="s">
        <v>168</v>
      </c>
      <c r="B5" s="35" t="e">
        <f t="shared" si="0"/>
        <v>#REF!</v>
      </c>
      <c r="C5" s="35" t="e">
        <f t="shared" si="1"/>
        <v>#REF!</v>
      </c>
      <c r="D5" s="35" t="e">
        <f t="shared" si="2"/>
        <v>#REF!</v>
      </c>
      <c r="E5" s="35" t="e">
        <f t="shared" si="3"/>
        <v>#REF!</v>
      </c>
    </row>
    <row r="6" spans="1:5" ht="12.75">
      <c r="A6" s="13" t="s">
        <v>150</v>
      </c>
      <c r="B6" s="35" t="e">
        <f t="shared" si="0"/>
        <v>#REF!</v>
      </c>
      <c r="C6" s="35" t="e">
        <f t="shared" si="1"/>
        <v>#REF!</v>
      </c>
      <c r="D6" s="35" t="e">
        <f t="shared" si="2"/>
        <v>#REF!</v>
      </c>
      <c r="E6" s="35" t="e">
        <f t="shared" si="3"/>
        <v>#REF!</v>
      </c>
    </row>
    <row r="7" spans="1:5" ht="12.75">
      <c r="A7" s="95" t="s">
        <v>14</v>
      </c>
      <c r="B7" s="35" t="e">
        <f t="shared" si="0"/>
        <v>#REF!</v>
      </c>
      <c r="C7" s="35" t="e">
        <f t="shared" si="1"/>
        <v>#REF!</v>
      </c>
      <c r="D7" s="35" t="e">
        <f t="shared" si="2"/>
        <v>#REF!</v>
      </c>
      <c r="E7" s="35" t="e">
        <f t="shared" si="3"/>
        <v>#REF!</v>
      </c>
    </row>
    <row r="8" spans="1:5" ht="12.75">
      <c r="A8" s="152" t="str">
        <f>HYPERLINK("https://app.devzing.com/crocs/bugzilla/show_bug.cgi?id=8605","LinkShare US (8605)")</f>
        <v>LinkShare US (8605)</v>
      </c>
      <c r="B8" s="99" t="e">
        <f t="shared" si="0"/>
        <v>#REF!</v>
      </c>
      <c r="C8" s="35" t="e">
        <f t="shared" si="1"/>
        <v>#REF!</v>
      </c>
      <c r="D8" s="35" t="e">
        <f t="shared" si="2"/>
        <v>#REF!</v>
      </c>
      <c r="E8" s="35" t="e">
        <f t="shared" si="3"/>
        <v>#REF!</v>
      </c>
    </row>
    <row r="9" spans="1:5" ht="12.75">
      <c r="A9" s="152" t="str">
        <f>HYPERLINK("https://docs.google.com/file/d/0B8aL7M45OFh_VU9icmNNNkJmMU0/edit?usp=sharing","KR Virtual Account Bank Transfer Adyen-Inicis")</f>
        <v>KR Virtual Account Bank Transfer Adyen-Inicis</v>
      </c>
      <c r="B9" s="99" t="e">
        <f t="shared" si="0"/>
        <v>#REF!</v>
      </c>
      <c r="C9" s="35" t="e">
        <f t="shared" si="1"/>
        <v>#REF!</v>
      </c>
      <c r="D9" s="35" t="e">
        <f t="shared" si="2"/>
        <v>#REF!</v>
      </c>
      <c r="E9" s="35" t="e">
        <f t="shared" si="3"/>
        <v>#REF!</v>
      </c>
    </row>
    <row r="10" spans="1:4" ht="12.75">
      <c r="A10" s="21"/>
      <c r="B10" s="35" t="e">
        <f t="shared" si="0"/>
        <v>#REF!</v>
      </c>
      <c r="C10" s="35" t="e">
        <f t="shared" si="1"/>
        <v>#REF!</v>
      </c>
      <c r="D10" s="35" t="e">
        <f t="shared" si="2"/>
        <v>#REF!</v>
      </c>
    </row>
    <row r="11" spans="2:4" ht="12.75">
      <c r="B11" s="35" t="e">
        <f t="shared" si="0"/>
        <v>#REF!</v>
      </c>
      <c r="C11" s="35" t="e">
        <f t="shared" si="1"/>
        <v>#REF!</v>
      </c>
      <c r="D11" s="35" t="e">
        <f t="shared" si="2"/>
        <v>#REF!</v>
      </c>
    </row>
    <row r="12" spans="2:4" ht="12.75">
      <c r="B12" s="35" t="e">
        <f t="shared" si="0"/>
        <v>#REF!</v>
      </c>
      <c r="C12" s="35" t="e">
        <f t="shared" si="1"/>
        <v>#REF!</v>
      </c>
      <c r="D12" s="35" t="e">
        <f t="shared" si="2"/>
        <v>#REF!</v>
      </c>
    </row>
    <row r="13" spans="2:4" ht="12.75">
      <c r="B13" s="35" t="e">
        <f t="shared" si="0"/>
        <v>#REF!</v>
      </c>
      <c r="C13" s="35" t="e">
        <f t="shared" si="1"/>
        <v>#REF!</v>
      </c>
      <c r="D13" s="35" t="e">
        <f t="shared" si="2"/>
        <v>#REF!</v>
      </c>
    </row>
    <row r="14" spans="2:4" ht="12.75">
      <c r="B14" s="35" t="e">
        <f t="shared" si="0"/>
        <v>#REF!</v>
      </c>
      <c r="C14" s="35" t="e">
        <f t="shared" si="1"/>
        <v>#REF!</v>
      </c>
      <c r="D14" s="35" t="e">
        <f t="shared" si="2"/>
        <v>#REF!</v>
      </c>
    </row>
    <row r="15" spans="2:4" ht="12.75">
      <c r="B15" s="35" t="e">
        <f t="shared" si="0"/>
        <v>#REF!</v>
      </c>
      <c r="C15" s="35" t="e">
        <f t="shared" si="1"/>
        <v>#REF!</v>
      </c>
      <c r="D15" s="35" t="e">
        <f t="shared" si="2"/>
        <v>#REF!</v>
      </c>
    </row>
    <row r="16" spans="2:4" ht="12.75">
      <c r="B16" s="35" t="e">
        <f t="shared" si="0"/>
        <v>#REF!</v>
      </c>
      <c r="C16" s="35" t="e">
        <f t="shared" si="1"/>
        <v>#REF!</v>
      </c>
      <c r="D16" s="35" t="e">
        <f t="shared" si="2"/>
        <v>#REF!</v>
      </c>
    </row>
    <row r="17" spans="2:4" ht="12.75">
      <c r="B17" s="35" t="e">
        <f t="shared" si="0"/>
        <v>#REF!</v>
      </c>
      <c r="C17" s="35" t="e">
        <f t="shared" si="1"/>
        <v>#REF!</v>
      </c>
      <c r="D17" s="35" t="e">
        <f t="shared" si="2"/>
        <v>#REF!</v>
      </c>
    </row>
    <row r="18" spans="2:4" ht="12.75">
      <c r="B18" s="35" t="e">
        <f t="shared" si="0"/>
        <v>#REF!</v>
      </c>
      <c r="C18" s="35" t="e">
        <f t="shared" si="1"/>
        <v>#REF!</v>
      </c>
      <c r="D18" s="35" t="e">
        <f t="shared" si="2"/>
        <v>#REF!</v>
      </c>
    </row>
    <row r="19" spans="2:4" ht="12.75">
      <c r="B19" s="35" t="e">
        <f t="shared" si="0"/>
        <v>#REF!</v>
      </c>
      <c r="C19" s="35" t="e">
        <f t="shared" si="1"/>
        <v>#REF!</v>
      </c>
      <c r="D19" s="35" t="e">
        <f t="shared" si="2"/>
        <v>#REF!</v>
      </c>
    </row>
    <row r="20" spans="2:4" ht="12.75">
      <c r="B20" s="35" t="e">
        <f t="shared" si="0"/>
        <v>#REF!</v>
      </c>
      <c r="C20" s="35" t="e">
        <f t="shared" si="1"/>
        <v>#REF!</v>
      </c>
      <c r="D20" s="35" t="e">
        <f t="shared" si="2"/>
        <v>#REF!</v>
      </c>
    </row>
    <row r="21" spans="2:4" ht="12.75">
      <c r="B21" s="35" t="e">
        <f t="shared" si="0"/>
        <v>#REF!</v>
      </c>
      <c r="C21" s="35" t="e">
        <f t="shared" si="1"/>
        <v>#REF!</v>
      </c>
      <c r="D21" s="35" t="e">
        <f t="shared" si="2"/>
        <v>#REF!</v>
      </c>
    </row>
    <row r="22" spans="2:4" ht="12.75">
      <c r="B22" s="35" t="e">
        <f t="shared" si="0"/>
        <v>#REF!</v>
      </c>
      <c r="C22" s="35" t="e">
        <f t="shared" si="1"/>
        <v>#REF!</v>
      </c>
      <c r="D22" s="35" t="e">
        <f t="shared" si="2"/>
        <v>#REF!</v>
      </c>
    </row>
    <row r="23" spans="2:4" ht="12.75">
      <c r="B23" s="35" t="e">
        <f t="shared" si="0"/>
        <v>#REF!</v>
      </c>
      <c r="C23" s="35" t="e">
        <f t="shared" si="1"/>
        <v>#REF!</v>
      </c>
      <c r="D23" s="35" t="e">
        <f t="shared" si="2"/>
        <v>#REF!</v>
      </c>
    </row>
    <row r="24" spans="2:4" ht="12.75">
      <c r="B24" s="35" t="e">
        <f t="shared" si="0"/>
        <v>#REF!</v>
      </c>
      <c r="C24" s="35" t="e">
        <f t="shared" si="1"/>
        <v>#REF!</v>
      </c>
      <c r="D24" s="35" t="e">
        <f t="shared" si="2"/>
        <v>#REF!</v>
      </c>
    </row>
    <row r="25" spans="2:4" ht="12.75">
      <c r="B25" s="35" t="e">
        <f t="shared" si="0"/>
        <v>#REF!</v>
      </c>
      <c r="C25" s="35" t="e">
        <f t="shared" si="1"/>
        <v>#REF!</v>
      </c>
      <c r="D25" s="35" t="e">
        <f t="shared" si="2"/>
        <v>#REF!</v>
      </c>
    </row>
    <row r="26" spans="2:4" ht="12.75">
      <c r="B26" s="35" t="e">
        <f t="shared" si="0"/>
        <v>#REF!</v>
      </c>
      <c r="C26" s="35" t="e">
        <f t="shared" si="1"/>
        <v>#REF!</v>
      </c>
      <c r="D26" s="35" t="e">
        <f t="shared" si="2"/>
        <v>#REF!</v>
      </c>
    </row>
    <row r="27" spans="2:4" ht="12.75">
      <c r="B27" s="35" t="e">
        <f t="shared" si="0"/>
        <v>#REF!</v>
      </c>
      <c r="C27" s="35" t="e">
        <f t="shared" si="1"/>
        <v>#REF!</v>
      </c>
      <c r="D27" s="35" t="e">
        <f t="shared" si="2"/>
        <v>#REF!</v>
      </c>
    </row>
    <row r="28" spans="2:4" ht="12.75">
      <c r="B28" s="35" t="e">
        <f t="shared" si="0"/>
        <v>#REF!</v>
      </c>
      <c r="C28" s="35" t="e">
        <f t="shared" si="1"/>
        <v>#REF!</v>
      </c>
      <c r="D28" s="35" t="e">
        <f t="shared" si="2"/>
        <v>#REF!</v>
      </c>
    </row>
    <row r="29" spans="2:4" ht="12.75">
      <c r="B29" s="35" t="e">
        <f t="shared" si="0"/>
        <v>#REF!</v>
      </c>
      <c r="C29" s="35" t="e">
        <f t="shared" si="1"/>
        <v>#REF!</v>
      </c>
      <c r="D29" s="35" t="e">
        <f t="shared" si="2"/>
        <v>#REF!</v>
      </c>
    </row>
    <row r="30" spans="2:4" ht="12.75">
      <c r="B30" s="35" t="e">
        <f t="shared" si="0"/>
        <v>#REF!</v>
      </c>
      <c r="C30" s="35" t="e">
        <f t="shared" si="1"/>
        <v>#REF!</v>
      </c>
      <c r="D30" s="35" t="e">
        <f t="shared" si="2"/>
        <v>#REF!</v>
      </c>
    </row>
    <row r="31" spans="2:4" ht="12.75">
      <c r="B31" s="35" t="e">
        <f t="shared" si="0"/>
        <v>#REF!</v>
      </c>
      <c r="C31" s="35" t="e">
        <f t="shared" si="1"/>
        <v>#REF!</v>
      </c>
      <c r="D31" s="35" t="e">
        <f t="shared" si="2"/>
        <v>#REF!</v>
      </c>
    </row>
    <row r="32" spans="2:4" ht="12.75">
      <c r="B32" s="35" t="e">
        <f t="shared" si="0"/>
        <v>#REF!</v>
      </c>
      <c r="C32" s="35" t="e">
        <f t="shared" si="1"/>
        <v>#REF!</v>
      </c>
      <c r="D32" s="35" t="e">
        <f t="shared" si="2"/>
        <v>#REF!</v>
      </c>
    </row>
    <row r="33" spans="2:4" ht="12.75">
      <c r="B33" s="35" t="e">
        <f t="shared" si="0"/>
        <v>#REF!</v>
      </c>
      <c r="C33" s="35" t="e">
        <f t="shared" si="1"/>
        <v>#REF!</v>
      </c>
      <c r="D33" s="35" t="e">
        <f t="shared" si="2"/>
        <v>#REF!</v>
      </c>
    </row>
    <row r="34" spans="2:4" ht="12.75">
      <c r="B34" s="35" t="e">
        <f t="shared" si="0"/>
        <v>#REF!</v>
      </c>
      <c r="C34" s="35" t="e">
        <f t="shared" si="1"/>
        <v>#REF!</v>
      </c>
      <c r="D34" s="35" t="e">
        <f t="shared" si="2"/>
        <v>#REF!</v>
      </c>
    </row>
    <row r="35" spans="2:4" ht="12.75">
      <c r="B35" s="35" t="e">
        <f t="shared" si="0"/>
        <v>#REF!</v>
      </c>
      <c r="C35" s="35" t="e">
        <f t="shared" si="1"/>
        <v>#REF!</v>
      </c>
      <c r="D35" s="35" t="e">
        <f t="shared" si="2"/>
        <v>#REF!</v>
      </c>
    </row>
    <row r="36" spans="2:4" ht="12.75">
      <c r="B36" s="35" t="e">
        <f t="shared" si="0"/>
        <v>#REF!</v>
      </c>
      <c r="C36" s="35" t="e">
        <f t="shared" si="1"/>
        <v>#REF!</v>
      </c>
      <c r="D36" s="35" t="e">
        <f t="shared" si="2"/>
        <v>#REF!</v>
      </c>
    </row>
    <row r="37" spans="2:4" ht="12.75">
      <c r="B37" s="35" t="e">
        <f t="shared" si="0"/>
        <v>#REF!</v>
      </c>
      <c r="C37" s="35" t="e">
        <f t="shared" si="1"/>
        <v>#REF!</v>
      </c>
      <c r="D37" s="35" t="e">
        <f t="shared" si="2"/>
        <v>#REF!</v>
      </c>
    </row>
    <row r="38" spans="2:4" ht="12.75">
      <c r="B38" s="35" t="e">
        <f t="shared" si="0"/>
        <v>#REF!</v>
      </c>
      <c r="C38" s="35" t="e">
        <f t="shared" si="1"/>
        <v>#REF!</v>
      </c>
      <c r="D38" s="35" t="e">
        <f t="shared" si="2"/>
        <v>#REF!</v>
      </c>
    </row>
    <row r="39" spans="2:4" ht="12.75">
      <c r="B39" s="35" t="e">
        <f t="shared" si="0"/>
        <v>#REF!</v>
      </c>
      <c r="C39" s="35" t="e">
        <f t="shared" si="1"/>
        <v>#REF!</v>
      </c>
      <c r="D39" s="35" t="e">
        <f t="shared" si="2"/>
        <v>#REF!</v>
      </c>
    </row>
    <row r="40" spans="2:4" ht="12.75">
      <c r="B40" s="35" t="e">
        <f t="shared" si="0"/>
        <v>#REF!</v>
      </c>
      <c r="C40" s="35" t="e">
        <f t="shared" si="1"/>
        <v>#REF!</v>
      </c>
      <c r="D40" s="35" t="e">
        <f t="shared" si="2"/>
        <v>#REF!</v>
      </c>
    </row>
    <row r="41" spans="2:4" ht="12.75">
      <c r="B41" s="35" t="e">
        <f t="shared" si="0"/>
        <v>#REF!</v>
      </c>
      <c r="C41" s="35" t="e">
        <f t="shared" si="1"/>
        <v>#REF!</v>
      </c>
      <c r="D41" s="35" t="e">
        <f t="shared" si="2"/>
        <v>#REF!</v>
      </c>
    </row>
    <row r="42" spans="2:4" ht="12.75">
      <c r="B42" s="35" t="e">
        <f t="shared" si="0"/>
        <v>#REF!</v>
      </c>
      <c r="C42" s="35" t="e">
        <f t="shared" si="1"/>
        <v>#REF!</v>
      </c>
      <c r="D42" s="35" t="e">
        <f t="shared" si="2"/>
        <v>#REF!</v>
      </c>
    </row>
    <row r="43" spans="2:4" ht="12.75">
      <c r="B43" s="35" t="e">
        <f t="shared" si="0"/>
        <v>#REF!</v>
      </c>
      <c r="C43" s="35" t="e">
        <f t="shared" si="1"/>
        <v>#REF!</v>
      </c>
      <c r="D43" s="35" t="e">
        <f t="shared" si="2"/>
        <v>#REF!</v>
      </c>
    </row>
    <row r="44" spans="2:4" ht="12.75">
      <c r="B44" s="35" t="e">
        <f t="shared" si="0"/>
        <v>#REF!</v>
      </c>
      <c r="C44" s="35" t="e">
        <f t="shared" si="1"/>
        <v>#REF!</v>
      </c>
      <c r="D44" s="35" t="e">
        <f t="shared" si="2"/>
        <v>#REF!</v>
      </c>
    </row>
    <row r="45" spans="2:4" ht="12.75">
      <c r="B45" s="35" t="e">
        <f t="shared" si="0"/>
        <v>#REF!</v>
      </c>
      <c r="C45" s="35" t="e">
        <f t="shared" si="1"/>
        <v>#REF!</v>
      </c>
      <c r="D45" s="35" t="e">
        <f t="shared" si="2"/>
        <v>#REF!</v>
      </c>
    </row>
    <row r="46" spans="2:4" ht="12.75">
      <c r="B46" s="35" t="e">
        <f t="shared" si="0"/>
        <v>#REF!</v>
      </c>
      <c r="C46" s="35" t="e">
        <f t="shared" si="1"/>
        <v>#REF!</v>
      </c>
      <c r="D46" s="35" t="e">
        <f t="shared" si="2"/>
        <v>#REF!</v>
      </c>
    </row>
    <row r="47" spans="2:4" ht="12.75">
      <c r="B47" s="35" t="e">
        <f t="shared" si="0"/>
        <v>#REF!</v>
      </c>
      <c r="C47" s="35" t="e">
        <f t="shared" si="1"/>
        <v>#REF!</v>
      </c>
      <c r="D47" s="35" t="e">
        <f t="shared" si="2"/>
        <v>#REF!</v>
      </c>
    </row>
    <row r="48" spans="2:4" ht="12.75">
      <c r="B48" s="35" t="e">
        <f t="shared" si="0"/>
        <v>#REF!</v>
      </c>
      <c r="C48" s="35" t="e">
        <f t="shared" si="1"/>
        <v>#REF!</v>
      </c>
      <c r="D48" s="35" t="e">
        <f t="shared" si="2"/>
        <v>#REF!</v>
      </c>
    </row>
    <row r="49" spans="2:4" ht="12.75">
      <c r="B49" s="35" t="e">
        <f t="shared" si="0"/>
        <v>#REF!</v>
      </c>
      <c r="C49" s="35" t="e">
        <f t="shared" si="1"/>
        <v>#REF!</v>
      </c>
      <c r="D49" s="35" t="e">
        <f t="shared" si="2"/>
        <v>#REF!</v>
      </c>
    </row>
    <row r="50" spans="2:4" ht="12.75">
      <c r="B50" s="35" t="e">
        <f t="shared" si="0"/>
        <v>#REF!</v>
      </c>
      <c r="C50" s="35" t="e">
        <f t="shared" si="1"/>
        <v>#REF!</v>
      </c>
      <c r="D50" s="35" t="e">
        <f t="shared" si="2"/>
        <v>#REF!</v>
      </c>
    </row>
  </sheetData>
  <mergeCells count="1">
    <mergeCell ref="G2:I2"/>
  </mergeCells>
  <dataValidations count="1">
    <dataValidation type="list" allowBlank="1" sqref="A4:A7 A10:A50">
      <formula1>priortization!$A$1:$A$91</formula1>
    </dataValidation>
  </dataValidations>
  <hyperlinks>
    <hyperlink ref="A8" r:id="rId1" display="https://app.devzing.com/crocs/bugzilla/show_bug.cgi?id=8605"/>
    <hyperlink ref="A9" r:id="rId2" display="https://docs.google.com/file/d/0B8aL7M45OFh_VU9icmNNNkJmMU0/edit?usp=sharing"/>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U49"/>
  <sheetViews>
    <sheetView workbookViewId="0" topLeftCell="A1">
      <pane ySplit="1" topLeftCell="A2" activePane="bottomLeft" state="frozen"/>
      <selection pane="bottomLeft" activeCell="B3" sqref="B3"/>
    </sheetView>
  </sheetViews>
  <sheetFormatPr defaultColWidth="14.421875" defaultRowHeight="12.75" customHeight="1"/>
  <cols>
    <col min="1" max="1" width="34.00390625" style="0" customWidth="1"/>
    <col min="2" max="2" width="8.28125" style="0" hidden="1" customWidth="1"/>
    <col min="3" max="3" width="10.140625" style="0" customWidth="1"/>
    <col min="4" max="21" width="17.28125" style="0" customWidth="1"/>
  </cols>
  <sheetData>
    <row r="1" spans="1:21" ht="12.75">
      <c r="A1" s="1" t="s">
        <v>1</v>
      </c>
      <c r="B1" s="1" t="s">
        <v>7</v>
      </c>
      <c r="C1" s="1" t="s">
        <v>8</v>
      </c>
      <c r="D1" s="1" t="s">
        <v>9</v>
      </c>
      <c r="E1" s="9"/>
      <c r="F1" s="10"/>
      <c r="G1" s="10"/>
      <c r="H1" s="10"/>
      <c r="I1" s="10"/>
      <c r="J1" s="10"/>
      <c r="K1" s="10"/>
      <c r="L1" s="10"/>
      <c r="M1" s="10"/>
      <c r="N1" s="10"/>
      <c r="O1" s="10"/>
      <c r="P1" s="10"/>
      <c r="Q1" s="10"/>
      <c r="R1" s="10"/>
      <c r="S1" s="10"/>
      <c r="T1" s="10"/>
      <c r="U1" s="10"/>
    </row>
    <row r="2" spans="1:5" ht="12.75">
      <c r="A2" s="123" t="s">
        <v>273</v>
      </c>
      <c r="B2" s="82" t="e">
        <f>IF(#REF!&lt;=DATEVALUE("3/31/14"),"Q1",IF(#REF!&lt;=DATEVALUE("6/30/14"),"Q2",IF(#REF!&lt;=DATEVALUE("9/30/14"),"Q3","Later")))</f>
        <v>#REF!</v>
      </c>
      <c r="C2" s="8" t="s">
        <v>395</v>
      </c>
      <c r="D2" s="8" t="s">
        <v>396</v>
      </c>
      <c r="E2" s="19"/>
    </row>
    <row r="3" spans="1:5" ht="12.75">
      <c r="A3" s="126" t="str">
        <f>HYPERLINK("https://docs.google.com/document/d/1kjJhDEmeJsaLKOBpoKHm0wqxAnw3AVDmJfmw650r7nM/edit#","Banner Optimization")</f>
        <v>Banner Optimization</v>
      </c>
      <c r="B3" s="82" t="str">
        <f aca="true" t="shared" si="0" ref="B3:B14">IF("#REF!"="TBD","NA",IF("#REF!"&lt;=DATEVALUE("3/31/14"),"Q1",IF("#REF!"&lt;=DATEVALUE("6/30/14"),"Q2",IF("#REF!"&lt;=DATEVALUE("9/30/14"),"Q3","Later"))))</f>
        <v>Later</v>
      </c>
      <c r="C3" s="8" t="s">
        <v>425</v>
      </c>
      <c r="D3" s="8" t="s">
        <v>426</v>
      </c>
      <c r="E3" s="19"/>
    </row>
    <row r="4" spans="1:5" ht="12.75">
      <c r="A4" s="126" t="str">
        <f>HYPERLINK("https://docs.google.com/open?id=0B8aL7M45OFh_NzRzNGhybzlUeFk","CrocsRx.ca")</f>
        <v>CrocsRx.ca</v>
      </c>
      <c r="B4" s="82" t="str">
        <f t="shared" si="0"/>
        <v>Later</v>
      </c>
      <c r="C4" s="8" t="s">
        <v>425</v>
      </c>
      <c r="D4" s="8" t="s">
        <v>426</v>
      </c>
      <c r="E4" s="19"/>
    </row>
    <row r="5" spans="1:5" ht="12.75">
      <c r="A5" s="126" t="str">
        <f>HYPERLINK("https://docs.google.com/open?id=0B8aL7M45OFh_Nmh6STQ5RjBITEE","Expanding Wish List Feature")</f>
        <v>Expanding Wish List Feature</v>
      </c>
      <c r="B5" s="82" t="str">
        <f t="shared" si="0"/>
        <v>Later</v>
      </c>
      <c r="C5" s="8" t="s">
        <v>425</v>
      </c>
      <c r="D5" s="8" t="s">
        <v>426</v>
      </c>
      <c r="E5" s="19"/>
    </row>
    <row r="6" spans="1:5" ht="12.75">
      <c r="A6" s="126" t="str">
        <f>HYPERLINK("https://docs.google.com/open?id=0B8aL7M45OFh_ZmRienpzSlBROWVxNzhUY1hPNmZGUQ","Free Offers")</f>
        <v>Free Offers</v>
      </c>
      <c r="B6" s="82" t="str">
        <f t="shared" si="0"/>
        <v>Later</v>
      </c>
      <c r="C6" s="8" t="s">
        <v>425</v>
      </c>
      <c r="D6" s="8" t="s">
        <v>426</v>
      </c>
      <c r="E6" s="19"/>
    </row>
    <row r="7" spans="1:5" ht="12.75">
      <c r="A7" s="126" t="str">
        <f>HYPERLINK("https://docs.google.com/document/d/13AKjC4v9Vs4J9OaXQ8fOsFCvOPcTzFdTfBcYYldiN_Y/edit#","Get US BazaarVoice Reviews into AU, SG")</f>
        <v>Get US BazaarVoice Reviews into AU, SG</v>
      </c>
      <c r="B7" s="82" t="str">
        <f t="shared" si="0"/>
        <v>Later</v>
      </c>
      <c r="C7" s="8" t="s">
        <v>425</v>
      </c>
      <c r="D7" s="8" t="s">
        <v>426</v>
      </c>
      <c r="E7" s="19"/>
    </row>
    <row r="8" spans="1:5" ht="12.75">
      <c r="A8" s="131" t="str">
        <f>HYPERLINK("https://docs.google.com/leaf?id=0B8aL7M45OFh_YzMxMmRmMzgtYTc4Yi00MjEyLWFmMTQtNDI5Y2Y5OGNiM2Ez&amp;hl=en_US","Gift with purchase (GWP)")</f>
        <v>Gift with purchase (GWP)</v>
      </c>
      <c r="B8" s="82" t="str">
        <f t="shared" si="0"/>
        <v>Later</v>
      </c>
      <c r="C8" s="8" t="s">
        <v>425</v>
      </c>
      <c r="D8" s="8" t="s">
        <v>426</v>
      </c>
      <c r="E8" s="19"/>
    </row>
    <row r="9" spans="1:5" ht="12.75">
      <c r="A9" s="126" t="str">
        <f>HYPERLINK("https://docs.google.com/open?id=0B8aL7M45OFh_UDVFVHA5bTlRdXFJRkhDcWlrRDFhZw","Mobile Only Couponing")</f>
        <v>Mobile Only Couponing</v>
      </c>
      <c r="B9" s="82" t="str">
        <f t="shared" si="0"/>
        <v>Later</v>
      </c>
      <c r="C9" s="8" t="s">
        <v>425</v>
      </c>
      <c r="D9" s="8" t="s">
        <v>426</v>
      </c>
      <c r="E9" s="19"/>
    </row>
    <row r="10" spans="1:5" ht="12.75">
      <c r="A10" s="8" t="s">
        <v>443</v>
      </c>
      <c r="B10" s="82" t="str">
        <f t="shared" si="0"/>
        <v>Later</v>
      </c>
      <c r="C10" s="8" t="s">
        <v>425</v>
      </c>
      <c r="D10" s="8" t="s">
        <v>426</v>
      </c>
      <c r="E10" s="19"/>
    </row>
    <row r="11" spans="1:5" ht="12.75">
      <c r="A11" s="126" t="str">
        <f>HYPERLINK("https://docs.google.com/open?id=0B8aL7M45OFh_cEdnWFRTX3NYSmM","PFD @ Work Loyalty Program")</f>
        <v>PFD @ Work Loyalty Program</v>
      </c>
      <c r="B11" s="82" t="str">
        <f t="shared" si="0"/>
        <v>Later</v>
      </c>
      <c r="C11" s="8" t="s">
        <v>425</v>
      </c>
      <c r="D11" s="8" t="s">
        <v>426</v>
      </c>
      <c r="E11" s="19"/>
    </row>
    <row r="12" spans="1:5" ht="12.75">
      <c r="A12" s="126" t="str">
        <f>HYPERLINK("https://docs.google.com/file/d/0B8aL7M45OFh_OTQ4eTBJRnVsRUE/edit?usp=sharing","Random Coupon Code Generator")</f>
        <v>Random Coupon Code Generator</v>
      </c>
      <c r="B12" s="82" t="str">
        <f t="shared" si="0"/>
        <v>Later</v>
      </c>
      <c r="C12" s="8" t="s">
        <v>425</v>
      </c>
      <c r="D12" s="8" t="s">
        <v>426</v>
      </c>
      <c r="E12" s="19"/>
    </row>
    <row r="13" spans="1:5" ht="12.75">
      <c r="A13" s="131" t="str">
        <f>HYPERLINK("https://docs.google.com/open?id=0B8aL7M45OFh_ZWNlNzhmMjUtZTFmZC00ZGUxLWJlODUtN2Y1ZWUyNzJjMzE2","Seamless SMS-Opt-in Process Online")</f>
        <v>Seamless SMS-Opt-in Process Online</v>
      </c>
      <c r="B13" s="82" t="str">
        <f t="shared" si="0"/>
        <v>Later</v>
      </c>
      <c r="C13" s="8" t="s">
        <v>425</v>
      </c>
      <c r="D13" s="8" t="s">
        <v>426</v>
      </c>
      <c r="E13" s="19"/>
    </row>
    <row r="14" spans="1:5" ht="12.75">
      <c r="A14" s="131" t="str">
        <f>HYPERLINK("https://docs.google.com/file/d/0B8aL7M45OFh_Q2hLdFlzR2pvd3M/edit?usp=sharing","Shipment Tracking number for AU/HK/SG/TW")</f>
        <v>Shipment Tracking number for AU/HK/SG/TW</v>
      </c>
      <c r="B14" s="82" t="str">
        <f t="shared" si="0"/>
        <v>Later</v>
      </c>
      <c r="C14" s="8" t="s">
        <v>425</v>
      </c>
      <c r="D14" s="8" t="s">
        <v>426</v>
      </c>
      <c r="E14" s="19"/>
    </row>
    <row r="15" spans="1:5" ht="12.75">
      <c r="A15" s="126" t="str">
        <f>HYPERLINK("https://docs.google.com/document/d/1Jse7NI60aV7WVV7CxY4jqsYEfdvkBGgHZcNXoHwRu6o/edit#heading=h.30j0zll","Adyen Rollout for AU")</f>
        <v>Adyen Rollout for AU</v>
      </c>
      <c r="B15" s="82" t="e">
        <f>IF(#REF!&lt;=DATEVALUE("3/31/14"),"Q1",IF(#REF!&lt;=DATEVALUE("6/30/14"),"Q2",IF(#REF!&lt;=DATEVALUE("9/30/14"),"Q3","Later")))</f>
        <v>#REF!</v>
      </c>
      <c r="C15" s="8" t="s">
        <v>309</v>
      </c>
      <c r="D15" s="8" t="s">
        <v>396</v>
      </c>
      <c r="E15" s="19"/>
    </row>
    <row r="16" spans="1:5" ht="12.75">
      <c r="A16" s="126" t="str">
        <f>HYPERLINK("https://docs.google.com/document/d/1qZ8_nM4juWRr_qUkkYoe8NY2kQuwUTIolUo2RibNC7w/edit?usp=sharing","Cart Level Upsell")</f>
        <v>Cart Level Upsell</v>
      </c>
      <c r="B16" s="82" t="e">
        <f aca="true" t="shared" si="1" ref="B16:B17">IF(#REF!="TBD","NA",IF(#REF!&lt;=DATEVALUE("3/31/14"),"Q1",IF(#REF!&lt;=DATEVALUE("6/30/14"),"Q2",IF(#REF!&lt;=DATEVALUE("9/30/14"),"Q3","Later"))))</f>
        <v>#REF!</v>
      </c>
      <c r="C16" s="8" t="s">
        <v>309</v>
      </c>
      <c r="D16" s="8" t="s">
        <v>426</v>
      </c>
      <c r="E16" s="19"/>
    </row>
    <row r="17" spans="1:5" ht="12.75">
      <c r="A17" s="126" t="str">
        <f>HYPERLINK("https://docs.google.com/file/d/0B8aL7M45OFh_Z2Vkd1RJRDl3dVU/edit?usp=sharing","Checkout Redesign US")</f>
        <v>Checkout Redesign US</v>
      </c>
      <c r="B17" s="82" t="e">
        <f t="shared" si="1"/>
        <v>#REF!</v>
      </c>
      <c r="C17" s="8" t="s">
        <v>309</v>
      </c>
      <c r="D17" s="8" t="s">
        <v>426</v>
      </c>
      <c r="E17" s="19"/>
    </row>
    <row r="18" spans="1:5" ht="12.75">
      <c r="A18" s="126" t="str">
        <f>HYPERLINK("https://docs.google.com/document/d/1RXkBtRfwB0a_ZTw6Kf6JTq-ZZ2a8Xt3d9geMieAQJKA/edit","CRM Data Capture EU/AP")</f>
        <v>CRM Data Capture EU/AP</v>
      </c>
      <c r="B18" s="82" t="e">
        <f aca="true" t="shared" si="2" ref="B18:B19">IF(#REF!&lt;=DATEVALUE("3/31/14"),"Q1",IF(#REF!&lt;=DATEVALUE("6/30/14"),"Q2",IF(#REF!&lt;=DATEVALUE("9/30/14"),"Q3","Later")))</f>
        <v>#REF!</v>
      </c>
      <c r="C18" s="8" t="s">
        <v>309</v>
      </c>
      <c r="D18" s="8" t="s">
        <v>396</v>
      </c>
      <c r="E18" s="19"/>
    </row>
    <row r="19" spans="1:5" ht="12.75">
      <c r="A19" s="126" t="str">
        <f>HYPERLINK("https://docs.google.com/document/d/1HgfI1xXWTfBifEGBfiR5bwBydcPnz38wvEIClDqM134/edit#heading=h.gjdgxs","Dynamic Size Chips")</f>
        <v>Dynamic Size Chips</v>
      </c>
      <c r="B19" s="82" t="e">
        <f t="shared" si="2"/>
        <v>#REF!</v>
      </c>
      <c r="C19" s="8" t="s">
        <v>309</v>
      </c>
      <c r="D19" s="8" t="s">
        <v>396</v>
      </c>
      <c r="E19" s="19"/>
    </row>
    <row r="20" spans="1:5" ht="12.75">
      <c r="A20" s="8" t="s">
        <v>357</v>
      </c>
      <c r="B20" s="82" t="e">
        <f>IF(#REF!&lt;=DATEVALUE("3/31/14"),"Q1",IF(#REF!&lt;=DATEVALUE("6/30/14"),"Q2",IF(#REF!&lt;=DATEVALUE("9/30/14"),"Q3","Later")))</f>
        <v>#REF!</v>
      </c>
      <c r="C20" s="8" t="s">
        <v>309</v>
      </c>
      <c r="D20" s="8" t="s">
        <v>396</v>
      </c>
      <c r="E20" s="19"/>
    </row>
    <row r="21" spans="1:5" ht="12.75">
      <c r="A21" s="126" t="str">
        <f>HYPERLINK("https://docs.google.com/document/d/1b5RTyL2onHp3jvtYy74zNKwcbAu88fWqM2Ewe1Q4Inc/edit","JP Taxation Change")</f>
        <v>JP Taxation Change</v>
      </c>
      <c r="B21" s="82" t="e">
        <f>IF(#REF!&lt;=DATEVALUE("3/31/14"),"Q1",IF(#REF!&lt;=DATEVALUE("6/30/14"),"Q2",IF(#REF!&lt;=DATEVALUE("9/30/14"),"Q3","Later")))</f>
        <v>#REF!</v>
      </c>
      <c r="C21" s="8" t="s">
        <v>309</v>
      </c>
      <c r="D21" s="8" t="s">
        <v>396</v>
      </c>
      <c r="E21" s="19"/>
    </row>
    <row r="22" spans="1:5" ht="12.75">
      <c r="A22" s="126" t="str">
        <f>HYPERLINK("https://docs.google.com/document/d/1HCntQoAWKszav-lXkmcYbU7fXx-QusBstGAh5eHPOug/edit?usp=sharing","Merchandising Automation, Phase 1")</f>
        <v>Merchandising Automation, Phase 1</v>
      </c>
      <c r="B22" s="82" t="e">
        <f>IF(#REF!="TBD","NA",IF(#REF!&lt;=DATEVALUE("3/31/14"),"Q1",IF(#REF!&lt;=DATEVALUE("6/30/14"),"Q2",IF(#REF!&lt;=DATEVALUE("9/30/14"),"Q3","Later"))))</f>
        <v>#REF!</v>
      </c>
      <c r="C22" s="8" t="s">
        <v>309</v>
      </c>
      <c r="D22" s="8" t="s">
        <v>426</v>
      </c>
      <c r="E22" s="19"/>
    </row>
    <row r="23" spans="1:5" ht="12.75">
      <c r="A23" s="8" t="s">
        <v>532</v>
      </c>
      <c r="B23" s="82" t="e">
        <f aca="true" t="shared" si="3" ref="B23:B24">IF(#REF!="TBD","NA",IF(#REF!&lt;=DATEVALUE("3/31/14"),"Q1",IF(#REF!&lt;=DATEVALUE("6/30/14"),"Q2",IF(#REF!&lt;=DATEVALUE("9/30/14"),"Q3","Later"))))</f>
        <v>#REF!</v>
      </c>
      <c r="C23" s="8" t="s">
        <v>309</v>
      </c>
      <c r="D23" s="8" t="s">
        <v>426</v>
      </c>
      <c r="E23" s="19"/>
    </row>
    <row r="24" spans="1:5" ht="12.75">
      <c r="A24" s="152" t="str">
        <f>HYPERLINK("https://docs.google.com/file/d/0B8aL7M45OFh_YVJTM1dFODdlSGM/edit?usp=sharing","Mobile Site Global Rollout, Wave 2")</f>
        <v>Mobile Site Global Rollout, Wave 2</v>
      </c>
      <c r="B24" s="82" t="e">
        <f t="shared" si="3"/>
        <v>#REF!</v>
      </c>
      <c r="C24" s="8" t="s">
        <v>309</v>
      </c>
      <c r="D24" s="8" t="s">
        <v>426</v>
      </c>
      <c r="E24" s="19"/>
    </row>
    <row r="25" spans="1:5" ht="12.75">
      <c r="A25" s="46" t="s">
        <v>546</v>
      </c>
      <c r="B25" s="82" t="e">
        <f aca="true" t="shared" si="4" ref="B25:B26">IF(#REF!&lt;=DATEVALUE("3/31/14"),"Q1",IF(#REF!&lt;=DATEVALUE("6/30/14"),"Q2",IF(#REF!&lt;=DATEVALUE("9/30/14"),"Q3","Later")))</f>
        <v>#REF!</v>
      </c>
      <c r="C25" s="8" t="s">
        <v>309</v>
      </c>
      <c r="D25" s="8" t="s">
        <v>396</v>
      </c>
      <c r="E25" s="19"/>
    </row>
    <row r="26" spans="1:5" ht="12.75">
      <c r="A26" s="126" t="str">
        <f>HYPERLINK("https://docs.google.com/document/d/104GcuVdpqyDEPBnIM6O3BJ3LnmQSmcQ6UNyl5T6XgMk/edit?usp=sharing","ProductFinder")</f>
        <v>ProductFinder</v>
      </c>
      <c r="B26" s="82" t="e">
        <f t="shared" si="4"/>
        <v>#REF!</v>
      </c>
      <c r="C26" s="8" t="s">
        <v>309</v>
      </c>
      <c r="D26" s="8" t="s">
        <v>396</v>
      </c>
      <c r="E26" s="19"/>
    </row>
    <row r="27" spans="1:5" ht="12.75">
      <c r="A27" s="126" t="str">
        <f>HYPERLINK("https://docs.google.com/document/d/1fPr1dQE_o-HmCs3wVBTd7gdEuoCQ36zPphEo2dV42UM/edit?usp=sharing","Promotional Nearness Messaging")</f>
        <v>Promotional Nearness Messaging</v>
      </c>
      <c r="B27" s="82" t="e">
        <f>IF(#REF!="TBD","NA",IF(#REF!&lt;=DATEVALUE("3/31/14"),"Q1",IF(#REF!&lt;=DATEVALUE("6/30/14"),"Q2",IF(#REF!&lt;=DATEVALUE("9/30/14"),"Q3","Later"))))</f>
        <v>#REF!</v>
      </c>
      <c r="C27" s="8" t="s">
        <v>309</v>
      </c>
      <c r="D27" s="8" t="s">
        <v>426</v>
      </c>
      <c r="E27" s="19"/>
    </row>
    <row r="28" spans="1:5" ht="12.75">
      <c r="A28" s="126" t="str">
        <f>HYPERLINK("https://docs.google.com/document/d/1hzxOGxFGkZuvJsEVfvDFDrgiauv7AS9lor6WlOFsBpI/edit?usp=sharing","SAP Card Connect Integration")</f>
        <v>SAP Card Connect Integration</v>
      </c>
      <c r="B28" s="82" t="str">
        <f aca="true" t="shared" si="5" ref="B28:B31">IF("#REF!"&lt;=DATEVALUE("3/31/14"),"Q1",IF("#REF!"&lt;=DATEVALUE("6/30/14"),"Q2",IF("#REF!"&lt;=DATEVALUE("9/30/14"),"Q3","Later")))</f>
        <v>Later</v>
      </c>
      <c r="C28" s="8" t="s">
        <v>309</v>
      </c>
      <c r="D28" s="8" t="s">
        <v>396</v>
      </c>
      <c r="E28" s="19"/>
    </row>
    <row r="29" spans="1:5" ht="12.75">
      <c r="A29" s="126" t="str">
        <f>HYPERLINK("https://docs.google.com/file/d/0B8aL7M45OFh_bHVJU0M2QlIycXc/edit?usp=sharing","Site Performance Optimization")</f>
        <v>Site Performance Optimization</v>
      </c>
      <c r="B29" s="82" t="str">
        <f t="shared" si="5"/>
        <v>Later</v>
      </c>
      <c r="C29" s="8" t="s">
        <v>309</v>
      </c>
      <c r="D29" s="8" t="s">
        <v>396</v>
      </c>
      <c r="E29" s="19"/>
    </row>
    <row r="30" spans="1:5" ht="12.75">
      <c r="A30" s="46" t="s">
        <v>216</v>
      </c>
      <c r="B30" s="82" t="str">
        <f t="shared" si="5"/>
        <v>Later</v>
      </c>
      <c r="C30" s="8" t="s">
        <v>309</v>
      </c>
      <c r="D30" s="8" t="s">
        <v>396</v>
      </c>
      <c r="E30" s="19"/>
    </row>
    <row r="31" spans="1:5" ht="12.75">
      <c r="A31" s="126" t="str">
        <f>HYPERLINK("https://docs.google.com/document/d/1c8XMgSIYIfVinaDa23Qoy9QI-DadL6TfFFEFKg6IJeY/edit","US ebay upgrades")</f>
        <v>US ebay upgrades</v>
      </c>
      <c r="B31" s="82" t="str">
        <f t="shared" si="5"/>
        <v>Later</v>
      </c>
      <c r="C31" s="8" t="s">
        <v>309</v>
      </c>
      <c r="D31" s="8" t="s">
        <v>396</v>
      </c>
      <c r="E31" s="19"/>
    </row>
    <row r="32" spans="1:5" ht="12.75" hidden="1">
      <c r="A32" s="5"/>
      <c r="B32" s="82" t="e">
        <f>IF(#REF!="TBD","NA",IF(#REF!&lt;=DATEVALUE("3/31/14"),"Q1",IF(#REF!&lt;=DATEVALUE("6/30/14"),"Q2",IF(#REF!&lt;=DATEVALUE("9/30/14"),"Q3","Later"))))</f>
        <v>#REF!</v>
      </c>
      <c r="C32" s="8" t="s">
        <v>309</v>
      </c>
      <c r="D32" s="8" t="s">
        <v>426</v>
      </c>
      <c r="E32" s="19"/>
    </row>
    <row r="33" spans="1:5" ht="12.75" hidden="1">
      <c r="A33" s="161"/>
      <c r="B33" s="82" t="e">
        <f>IF(#REF!="TBD","NA",IF(#REF!&lt;=DATEVALUE("3/31/14"),"Q1",IF(#REF!&lt;=DATEVALUE("6/30/14"),"Q2",IF(#REF!&lt;=DATEVALUE("9/30/14"),"Q3","Later"))))</f>
        <v>#REF!</v>
      </c>
      <c r="C33" s="8" t="s">
        <v>309</v>
      </c>
      <c r="D33" s="8" t="s">
        <v>426</v>
      </c>
      <c r="E33" s="19"/>
    </row>
    <row r="34" spans="1:5" ht="12.75">
      <c r="A34" s="126" t="str">
        <f>HYPERLINK("https://docs.google.com/document/d/1b-fdc6i5uDWeew0gnVYJEBjjCG8DGMbGQ04qwAB3iyk/edit","Crocs Club Rewards: eComm Integration and Customer Experience on Web")</f>
        <v>Crocs Club Rewards: eComm Integration and Customer Experience on Web</v>
      </c>
      <c r="B34" s="82" t="e">
        <f>IF(#REF!&lt;=DATEVALUE("3/31/14"),"Q1",IF(#REF!&lt;=DATEVALUE("6/30/14"),"Q2",IF(#REF!&lt;=DATEVALUE("9/30/14"),"Q3","Later")))</f>
        <v>#REF!</v>
      </c>
      <c r="C34" s="8" t="s">
        <v>570</v>
      </c>
      <c r="D34" s="8" t="s">
        <v>396</v>
      </c>
      <c r="E34" s="19"/>
    </row>
    <row r="35" spans="1:5" ht="12.75">
      <c r="A35" s="126" t="str">
        <f>HYPERLINK("https://docs.google.com/document/d/1HCntQoAWKszav-lXkmcYbU7fXx-QusBstGAh5eHPOug/edit?usp=sharing","Merchandising Automation, Phase 2")</f>
        <v>Merchandising Automation, Phase 2</v>
      </c>
      <c r="B35" s="82" t="e">
        <f>IF(#REF!="TBD","NA",IF(#REF!&lt;=DATEVALUE("3/31/14"),"Q1",IF(#REF!&lt;=DATEVALUE("6/30/14"),"Q2",IF(#REF!&lt;=DATEVALUE("9/30/14"),"Q3","Later"))))</f>
        <v>#REF!</v>
      </c>
      <c r="C35" s="8" t="s">
        <v>570</v>
      </c>
      <c r="D35" s="8" t="s">
        <v>426</v>
      </c>
      <c r="E35" s="19"/>
    </row>
    <row r="36" spans="1:5" ht="12.75">
      <c r="A36" s="152" t="str">
        <f>HYPERLINK("https://docs.google.com/file/d/0B8aL7M45OFh_YVJTM1dFODdlSGM/edit?usp=sharing","Mobile Site Global Rollout, Wave 1")</f>
        <v>Mobile Site Global Rollout, Wave 1</v>
      </c>
      <c r="B36" s="82" t="e">
        <f>IF(#REF!&lt;=DATEVALUE("3/31/14"),"Q1",IF(#REF!&lt;=DATEVALUE("6/30/14"),"Q2",IF(#REF!&lt;=DATEVALUE("9/30/14"),"Q3","Later")))</f>
        <v>#REF!</v>
      </c>
      <c r="C36" s="8" t="s">
        <v>570</v>
      </c>
      <c r="D36" s="8" t="s">
        <v>396</v>
      </c>
      <c r="E36" s="19"/>
    </row>
    <row r="37" spans="1:5" ht="12.75">
      <c r="A37" s="152" t="str">
        <f>HYPERLINK("https://docs.google.com/file/d/0B8aL7M45OFh_YVJTM1dFODdlSGM/edit?usp=sharing","Mobile Site Global Rollout, Wave 3")</f>
        <v>Mobile Site Global Rollout, Wave 3</v>
      </c>
      <c r="B37" s="82" t="e">
        <f>IF(#REF!="TBD","NA",IF(#REF!&lt;=DATEVALUE("3/31/14"),"Q1",IF(#REF!&lt;=DATEVALUE("6/30/14"),"Q2",IF(#REF!&lt;=DATEVALUE("9/30/14"),"Q3","Later"))))</f>
        <v>#REF!</v>
      </c>
      <c r="C37" s="8" t="s">
        <v>570</v>
      </c>
      <c r="D37" s="8" t="s">
        <v>426</v>
      </c>
      <c r="E37" s="19"/>
    </row>
    <row r="38" spans="1:5" ht="12.75">
      <c r="A38" s="46" t="s">
        <v>64</v>
      </c>
      <c r="B38" s="82" t="e">
        <f aca="true" t="shared" si="6" ref="B38:B40">IF(#REF!&lt;=DATEVALUE("3/31/14"),"Q1",IF(#REF!&lt;=DATEVALUE("6/30/14"),"Q2",IF(#REF!&lt;=DATEVALUE("9/30/14"),"Q3","Later")))</f>
        <v>#REF!</v>
      </c>
      <c r="C38" s="8" t="s">
        <v>570</v>
      </c>
      <c r="D38" s="8" t="s">
        <v>396</v>
      </c>
      <c r="E38" s="19"/>
    </row>
    <row r="39" spans="1:5" ht="12.75">
      <c r="A39" s="46" t="s">
        <v>168</v>
      </c>
      <c r="B39" s="82" t="e">
        <f t="shared" si="6"/>
        <v>#REF!</v>
      </c>
      <c r="C39" s="8" t="s">
        <v>570</v>
      </c>
      <c r="D39" s="8" t="s">
        <v>396</v>
      </c>
      <c r="E39" s="19"/>
    </row>
    <row r="40" spans="1:5" ht="12.75">
      <c r="A40" s="46" t="s">
        <v>150</v>
      </c>
      <c r="B40" s="82" t="e">
        <f t="shared" si="6"/>
        <v>#REF!</v>
      </c>
      <c r="C40" s="8" t="s">
        <v>570</v>
      </c>
      <c r="D40" s="8" t="s">
        <v>396</v>
      </c>
      <c r="E40" s="19"/>
    </row>
    <row r="41" spans="1:5" ht="12.75">
      <c r="A41" s="8" t="s">
        <v>478</v>
      </c>
      <c r="B41" s="82" t="e">
        <f>IF(#REF!&lt;=DATEVALUE("3/31/14"),"Q1",IF(#REF!&lt;=DATEVALUE("6/30/14"),"Q2",IF(#REF!&lt;=DATEVALUE("9/30/14"),"Q3","Later")))</f>
        <v>#REF!</v>
      </c>
      <c r="C41" s="8" t="s">
        <v>570</v>
      </c>
      <c r="D41" s="8" t="s">
        <v>396</v>
      </c>
      <c r="E41" s="19"/>
    </row>
    <row r="42" spans="1:5" ht="12.75">
      <c r="A42" s="152" t="str">
        <f>HYPERLINK("https://docs.google.com/document/d/152JbS-puW2n_RMM0yO17416n8WeMXPofwEOUtqmoV7I/edit?usp=sharing","Adyen APAC, Phase 2")</f>
        <v>Adyen APAC, Phase 2</v>
      </c>
      <c r="B42" s="82" t="e">
        <f aca="true" t="shared" si="7" ref="B42:B43">IF(#REF!="TBD","NA",IF(#REF!&lt;=DATEVALUE("3/31/14"),"Q1",IF(#REF!&lt;=DATEVALUE("6/30/14"),"Q2",IF(#REF!&lt;=DATEVALUE("9/30/14"),"Q3","Later"))))</f>
        <v>#REF!</v>
      </c>
      <c r="C42" s="8" t="s">
        <v>600</v>
      </c>
      <c r="D42" s="8" t="s">
        <v>426</v>
      </c>
      <c r="E42" s="19"/>
    </row>
    <row r="43" spans="1:5" ht="12.75">
      <c r="A43" s="152" t="str">
        <f>HYPERLINK("https://docs.google.com/document/d/1xfrDgi3yaInbSfXI0g2cH3a4BQhf9xIKnbGyP2_W3B0/edit?usp=sharing","Demandware Transactional Email Redesign")</f>
        <v>Demandware Transactional Email Redesign</v>
      </c>
      <c r="B43" s="82" t="e">
        <f t="shared" si="7"/>
        <v>#REF!</v>
      </c>
      <c r="C43" s="8" t="s">
        <v>600</v>
      </c>
      <c r="D43" s="8" t="s">
        <v>426</v>
      </c>
      <c r="E43" s="19"/>
    </row>
    <row r="44" spans="1:5" ht="12.75">
      <c r="A44" s="131" t="str">
        <f>HYPERLINK("https://docs.google.com/leaf?id=0B8aL7M45OFh_YTc0NjNjMzMtZWMyMi00M2VlLTg5MmItYWY3ODVjYjRlZjc1&amp;hl=en&amp;authkey=CJ3DpoEB","Product Sets")</f>
        <v>Product Sets</v>
      </c>
      <c r="B44" s="82" t="e">
        <f>IF(#REF!="TBD","NA",IF(#REF!&lt;=DATEVALUE("3/31/14"),"Q1",IF(#REF!&lt;=DATEVALUE("6/30/14"),"Q2",IF(#REF!&lt;=DATEVALUE("9/30/14"),"Q3","Later"))))</f>
        <v>#REF!</v>
      </c>
      <c r="C44" s="8" t="s">
        <v>600</v>
      </c>
      <c r="D44" s="8" t="s">
        <v>426</v>
      </c>
      <c r="E44" s="19"/>
    </row>
    <row r="45" spans="1:5" ht="12.75">
      <c r="A45" s="8" t="s">
        <v>398</v>
      </c>
      <c r="B45" s="82" t="e">
        <f>IF(#REF!="TBD","NA",IF(#REF!&lt;=DATEVALUE("3/31/14"),"Q1",IF(#REF!&lt;=DATEVALUE("6/30/14"),"Q2",IF(#REF!&lt;=DATEVALUE("9/30/14"),"Q3","Later"))))</f>
        <v>#REF!</v>
      </c>
      <c r="C45" s="8" t="s">
        <v>600</v>
      </c>
      <c r="D45" s="8" t="s">
        <v>426</v>
      </c>
      <c r="E45" s="19"/>
    </row>
    <row r="46" spans="1:5" ht="12.75">
      <c r="A46" s="8" t="s">
        <v>371</v>
      </c>
      <c r="B46" s="82" t="e">
        <f>IF(#REF!="TBD","NA",IF(#REF!&lt;=DATEVALUE("3/31/14"),"Q1",IF(#REF!&lt;=DATEVALUE("6/30/14"),"Q2",IF(#REF!&lt;=DATEVALUE("9/30/14"),"Q3","Later"))))</f>
        <v>#REF!</v>
      </c>
      <c r="C46" s="8" t="s">
        <v>600</v>
      </c>
      <c r="D46" s="8" t="s">
        <v>426</v>
      </c>
      <c r="E46" s="19"/>
    </row>
    <row r="47" spans="1:5" ht="12.75">
      <c r="A47" s="126" t="str">
        <f>HYPERLINK("https://docs.google.com/document/d/1r8U5FB1bDugjU-K1BEkhOqOpAWrM6XvrqUIym1Rh0TU/edit?usp=sharing","Storefront Toolkit")</f>
        <v>Storefront Toolkit</v>
      </c>
      <c r="B47" s="82" t="e">
        <f>IF(#REF!="TBD","NA",IF(#REF!&lt;=DATEVALUE("3/31/14"),"Q1",IF(#REF!&lt;=DATEVALUE("6/30/14"),"Q2",IF(#REF!&lt;=DATEVALUE("9/30/14"),"Q3","Later"))))</f>
        <v>#REF!</v>
      </c>
      <c r="C47" s="8" t="s">
        <v>600</v>
      </c>
      <c r="D47" s="8" t="s">
        <v>426</v>
      </c>
      <c r="E47" s="19"/>
    </row>
    <row r="48" spans="1:5" ht="12.75">
      <c r="A48" s="126" t="str">
        <f>HYPERLINK("https://docs.google.com/file/d/0B8aL7M45OFh_RXZiTjU1TmNXdms/edit?usp=sharing","TW/SG COD")</f>
        <v>TW/SG COD</v>
      </c>
      <c r="B48" s="82" t="e">
        <f>IF(#REF!="TBD","NA",IF(#REF!&lt;=DATEVALUE("3/31/14"),"Q1",IF(#REF!&lt;=DATEVALUE("6/30/14"),"Q2",IF(#REF!&lt;=DATEVALUE("9/30/14"),"Q3","Later"))))</f>
        <v>#REF!</v>
      </c>
      <c r="C48" s="8" t="s">
        <v>600</v>
      </c>
      <c r="D48" s="8" t="s">
        <v>426</v>
      </c>
      <c r="E48" s="19"/>
    </row>
    <row r="49" spans="1:4" ht="12.75">
      <c r="A49" s="21"/>
      <c r="B49" s="21"/>
      <c r="C49" s="21"/>
      <c r="D49" s="21"/>
    </row>
  </sheetData>
  <hyperlinks>
    <hyperlink ref="A3" r:id="rId1" display="https://docs.google.com/document/d/1kjJhDEmeJsaLKOBpoKHm0wqxAnw3AVDmJfmw650r7nM/edit#"/>
    <hyperlink ref="A4" r:id="rId2" display="https://docs.google.com/open?id=0B8aL7M45OFh_NzRzNGhybzlUeFk"/>
    <hyperlink ref="A5" r:id="rId3" display="https://docs.google.com/open?id=0B8aL7M45OFh_Nmh6STQ5RjBITEE"/>
    <hyperlink ref="A6" r:id="rId4" display="https://docs.google.com/open?id=0B8aL7M45OFh_ZmRienpzSlBROWVxNzhUY1hPNmZGUQ"/>
    <hyperlink ref="A7" r:id="rId5" display="https://docs.google.com/document/d/13AKjC4v9Vs4J9OaXQ8fOsFCvOPcTzFdTfBcYYldiN_Y/edit#"/>
    <hyperlink ref="A8" r:id="rId6" display="https://docs.google.com/leaf?id=0B8aL7M45OFh_YzMxMmRmMzgtYTc4Yi00MjEyLWFmMTQtNDI5Y2Y5OGNiM2Ez&amp;hl=en_US"/>
    <hyperlink ref="A9" r:id="rId7" display="https://docs.google.com/open?id=0B8aL7M45OFh_UDVFVHA5bTlRdXFJRkhDcWlrRDFhZw"/>
    <hyperlink ref="A11" r:id="rId8" display="https://docs.google.com/open?id=0B8aL7M45OFh_cEdnWFRTX3NYSmM"/>
    <hyperlink ref="A12" r:id="rId9" display="https://docs.google.com/file/d/0B8aL7M45OFh_OTQ4eTBJRnVsRUE/edit?usp=sharing"/>
    <hyperlink ref="A13" r:id="rId10" display="https://docs.google.com/open?id=0B8aL7M45OFh_ZWNlNzhmMjUtZTFmZC00ZGUxLWJlODUtN2Y1ZWUyNzJjMzE2"/>
    <hyperlink ref="A14" r:id="rId11" display="https://docs.google.com/file/d/0B8aL7M45OFh_Q2hLdFlzR2pvd3M/edit?usp=sharing"/>
    <hyperlink ref="A15" r:id="rId12" display="https://docs.google.com/document/d/1Jse7NI60aV7WVV7CxY4jqsYEfdvkBGgHZcNXoHwRu6o/edit#heading=h.30j0zll"/>
    <hyperlink ref="A16" r:id="rId13" display="https://docs.google.com/document/d/1qZ8_nM4juWRr_qUkkYoe8NY2kQuwUTIolUo2RibNC7w/edit?usp=sharing"/>
    <hyperlink ref="A17" r:id="rId14" display="https://docs.google.com/file/d/0B8aL7M45OFh_Z2Vkd1RJRDl3dVU/edit?usp=sharing"/>
    <hyperlink ref="A18" r:id="rId15" display="https://docs.google.com/document/d/1RXkBtRfwB0a_ZTw6Kf6JTq-ZZ2a8Xt3d9geMieAQJKA/edit"/>
    <hyperlink ref="A19" r:id="rId16" display="https://docs.google.com/document/d/1HgfI1xXWTfBifEGBfiR5bwBydcPnz38wvEIClDqM134/edit#heading=h.gjdgxs"/>
    <hyperlink ref="A21" r:id="rId17" display="https://docs.google.com/document/d/1b5RTyL2onHp3jvtYy74zNKwcbAu88fWqM2Ewe1Q4Inc/edit"/>
    <hyperlink ref="A22" r:id="rId18" display="https://docs.google.com/document/d/1HCntQoAWKszav-lXkmcYbU7fXx-QusBstGAh5eHPOug/edit?usp=sharing"/>
    <hyperlink ref="A24" r:id="rId19" display="https://docs.google.com/file/d/0B8aL7M45OFh_YVJTM1dFODdlSGM/edit?usp=sharing"/>
    <hyperlink ref="A26" r:id="rId20" display="https://docs.google.com/document/d/104GcuVdpqyDEPBnIM6O3BJ3LnmQSmcQ6UNyl5T6XgMk/edit?usp=sharing"/>
    <hyperlink ref="A27" r:id="rId21" display="https://docs.google.com/document/d/1fPr1dQE_o-HmCs3wVBTd7gdEuoCQ36zPphEo2dV42UM/edit?usp=sharing"/>
    <hyperlink ref="A28" r:id="rId22" display="https://docs.google.com/document/d/1hzxOGxFGkZuvJsEVfvDFDrgiauv7AS9lor6WlOFsBpI/edit?usp=sharing"/>
    <hyperlink ref="A29" r:id="rId23" display="https://docs.google.com/file/d/0B8aL7M45OFh_bHVJU0M2QlIycXc/edit?usp=sharing"/>
    <hyperlink ref="A31" r:id="rId24" display="https://docs.google.com/document/d/1c8XMgSIYIfVinaDa23Qoy9QI-DadL6TfFFEFKg6IJeY/edit"/>
    <hyperlink ref="A34" r:id="rId25" display="https://docs.google.com/document/d/1b-fdc6i5uDWeew0gnVYJEBjjCG8DGMbGQ04qwAB3iyk/edit"/>
    <hyperlink ref="A35" r:id="rId26" display="https://docs.google.com/document/d/1HCntQoAWKszav-lXkmcYbU7fXx-QusBstGAh5eHPOug/edit?usp=sharing"/>
    <hyperlink ref="A36" r:id="rId27" display="https://docs.google.com/file/d/0B8aL7M45OFh_YVJTM1dFODdlSGM/edit?usp=sharing"/>
    <hyperlink ref="A37" r:id="rId28" display="https://docs.google.com/file/d/0B8aL7M45OFh_YVJTM1dFODdlSGM/edit?usp=sharing"/>
    <hyperlink ref="A42" r:id="rId29" display="https://docs.google.com/document/d/152JbS-puW2n_RMM0yO17416n8WeMXPofwEOUtqmoV7I/edit?usp=sharing"/>
    <hyperlink ref="A43" r:id="rId30" display="https://docs.google.com/document/d/1xfrDgi3yaInbSfXI0g2cH3a4BQhf9xIKnbGyP2_W3B0/edit?usp=sharing"/>
    <hyperlink ref="A44" r:id="rId31" display="https://docs.google.com/leaf?id=0B8aL7M45OFh_YTc0NjNjMzMtZWMyMi00M2VlLTg5MmItYWY3ODVjYjRlZjc1&amp;hl=en&amp;authkey=CJ3DpoEB"/>
    <hyperlink ref="A47" r:id="rId32" display="https://docs.google.com/document/d/1r8U5FB1bDugjU-K1BEkhOqOpAWrM6XvrqUIym1Rh0TU/edit?usp=sharing"/>
    <hyperlink ref="A48" r:id="rId33" display="https://docs.google.com/file/d/0B8aL7M45OFh_RXZiTjU1TmNXdms/edit?usp=sharing"/>
  </hyperlink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T48"/>
  <sheetViews>
    <sheetView workbookViewId="0" topLeftCell="A1">
      <pane ySplit="1" topLeftCell="A2" activePane="bottomLeft" state="frozen"/>
      <selection pane="bottomLeft" activeCell="B3" sqref="B3"/>
    </sheetView>
  </sheetViews>
  <sheetFormatPr defaultColWidth="14.421875" defaultRowHeight="12.75" customHeight="1"/>
  <cols>
    <col min="1" max="1" width="54.8515625" style="0" customWidth="1"/>
    <col min="2" max="2" width="6.8515625" style="0" customWidth="1"/>
    <col min="3" max="3" width="8.00390625" style="0" customWidth="1"/>
    <col min="4" max="4" width="7.7109375" style="0" customWidth="1"/>
    <col min="5" max="5" width="38.8515625" style="0" customWidth="1"/>
    <col min="6" max="6" width="9.00390625" style="0" customWidth="1"/>
    <col min="7" max="7" width="7.421875" style="0" customWidth="1"/>
    <col min="8" max="20" width="17.28125" style="0" customWidth="1"/>
  </cols>
  <sheetData>
    <row r="1" spans="1:20" ht="12.75">
      <c r="A1" s="3" t="s">
        <v>18</v>
      </c>
      <c r="B1" s="3" t="s">
        <v>19</v>
      </c>
      <c r="C1" s="3" t="s">
        <v>20</v>
      </c>
      <c r="D1" s="3" t="s">
        <v>21</v>
      </c>
      <c r="E1" s="3" t="s">
        <v>23</v>
      </c>
      <c r="F1" s="10"/>
      <c r="G1" s="10"/>
      <c r="H1" s="10"/>
      <c r="I1" s="10"/>
      <c r="J1" s="10"/>
      <c r="K1" s="10"/>
      <c r="L1" s="10"/>
      <c r="M1" s="10"/>
      <c r="N1" s="10"/>
      <c r="O1" s="10"/>
      <c r="P1" s="10"/>
      <c r="Q1" s="10"/>
      <c r="R1" s="10"/>
      <c r="S1" s="10"/>
      <c r="T1" s="10"/>
    </row>
    <row r="2" spans="1:7" ht="12.75">
      <c r="A2" s="86" t="s">
        <v>30</v>
      </c>
      <c r="B2" s="35" t="e">
        <f aca="true" t="shared" si="0" ref="B2:B48">IF(ISNA(VLOOKUP(A2,#REF!,10,FALSE)),IF(ISNA(VLOOKUP(A2,#REF!,10,FALSE)),"Fill in.",VLOOKUP(A2,#REF!,10,FALSE)),VLOOKUP(A2,#REF!,10,FALSE))</f>
        <v>#REF!</v>
      </c>
      <c r="C2" s="35" t="e">
        <f aca="true" t="shared" si="1" ref="C2:C3">IF(ISNA(VLOOKUP(A2,#REF!,4,FALSE)),IF(ISNA(VLOOKUP(A2,#REF!,4,FALSE)),"Fill in.",VLOOKUP(A2,#REF!,4,FALSE)),VLOOKUP(A2,#REF!,4,FALSE))</f>
        <v>#REF!</v>
      </c>
      <c r="D2" s="35" t="e">
        <f aca="true" t="shared" si="2" ref="D2:D48">IF(OR(C2="Fill in.",C2=""),"Get Size",VLOOKUP(C2,#REF!,4,FALSE))</f>
        <v>#REF!</v>
      </c>
      <c r="E2" s="35" t="e">
        <f aca="true" t="shared" si="3" ref="E2:E41">A2&amp;" ("&amp;C2&amp;"="&amp;D2&amp;")"</f>
        <v>#REF!</v>
      </c>
      <c r="F2" s="91" t="e">
        <f>SUM.LEGACY(D2:D5)</f>
        <v>#REF!</v>
      </c>
      <c r="G2" s="13" t="s">
        <v>278</v>
      </c>
    </row>
    <row r="3" spans="1:5" ht="12.75">
      <c r="A3" s="86" t="s">
        <v>174</v>
      </c>
      <c r="B3" s="35" t="e">
        <f t="shared" si="0"/>
        <v>#REF!</v>
      </c>
      <c r="C3" s="35" t="e">
        <f t="shared" si="1"/>
        <v>#REF!</v>
      </c>
      <c r="D3" s="35" t="e">
        <f t="shared" si="2"/>
        <v>#REF!</v>
      </c>
      <c r="E3" s="35" t="e">
        <f t="shared" si="3"/>
        <v>#REF!</v>
      </c>
    </row>
    <row r="4" spans="1:5" ht="12.75">
      <c r="A4" s="13" t="s">
        <v>282</v>
      </c>
      <c r="B4" s="35" t="e">
        <f t="shared" si="0"/>
        <v>#REF!</v>
      </c>
      <c r="C4" s="13" t="s">
        <v>96</v>
      </c>
      <c r="D4" s="35" t="e">
        <f t="shared" si="2"/>
        <v>#REF!</v>
      </c>
      <c r="E4" s="35" t="e">
        <f t="shared" si="3"/>
        <v>#REF!</v>
      </c>
    </row>
    <row r="5" spans="1:5" ht="12.75">
      <c r="A5" s="95" t="s">
        <v>286</v>
      </c>
      <c r="B5" s="35" t="e">
        <f t="shared" si="0"/>
        <v>#REF!</v>
      </c>
      <c r="C5" s="35" t="e">
        <f aca="true" t="shared" si="4" ref="C5:C48">IF(ISNA(VLOOKUP(A5,#REF!,4,FALSE)),IF(ISNA(VLOOKUP(A5,#REF!,4,FALSE)),"Fill in.",VLOOKUP(A5,#REF!,4,FALSE)),VLOOKUP(A5,#REF!,4,FALSE))</f>
        <v>#REF!</v>
      </c>
      <c r="D5" s="35" t="e">
        <f t="shared" si="2"/>
        <v>#REF!</v>
      </c>
      <c r="E5" s="35" t="e">
        <f t="shared" si="3"/>
        <v>#REF!</v>
      </c>
    </row>
    <row r="6" spans="1:5" ht="12.75">
      <c r="A6" s="97"/>
      <c r="B6" s="99" t="e">
        <f t="shared" si="0"/>
        <v>#REF!</v>
      </c>
      <c r="C6" s="35" t="e">
        <f t="shared" si="4"/>
        <v>#REF!</v>
      </c>
      <c r="D6" s="35" t="e">
        <f t="shared" si="2"/>
        <v>#REF!</v>
      </c>
      <c r="E6" s="35" t="e">
        <f t="shared" si="3"/>
        <v>#REF!</v>
      </c>
    </row>
    <row r="7" spans="1:5" ht="12.75">
      <c r="A7" s="97"/>
      <c r="B7" s="99" t="e">
        <f t="shared" si="0"/>
        <v>#REF!</v>
      </c>
      <c r="C7" s="35" t="e">
        <f t="shared" si="4"/>
        <v>#REF!</v>
      </c>
      <c r="D7" s="35" t="e">
        <f t="shared" si="2"/>
        <v>#REF!</v>
      </c>
      <c r="E7" s="35" t="e">
        <f t="shared" si="3"/>
        <v>#REF!</v>
      </c>
    </row>
    <row r="8" spans="1:5" ht="12.75">
      <c r="A8" s="21"/>
      <c r="B8" s="35" t="e">
        <f t="shared" si="0"/>
        <v>#REF!</v>
      </c>
      <c r="C8" s="35" t="e">
        <f t="shared" si="4"/>
        <v>#REF!</v>
      </c>
      <c r="D8" s="35" t="e">
        <f t="shared" si="2"/>
        <v>#REF!</v>
      </c>
      <c r="E8" s="35" t="e">
        <f t="shared" si="3"/>
        <v>#REF!</v>
      </c>
    </row>
    <row r="9" spans="2:5" ht="12.75">
      <c r="B9" s="35" t="e">
        <f t="shared" si="0"/>
        <v>#REF!</v>
      </c>
      <c r="C9" s="35" t="e">
        <f t="shared" si="4"/>
        <v>#REF!</v>
      </c>
      <c r="D9" s="35" t="e">
        <f t="shared" si="2"/>
        <v>#REF!</v>
      </c>
      <c r="E9" s="35" t="e">
        <f t="shared" si="3"/>
        <v>#REF!</v>
      </c>
    </row>
    <row r="10" spans="2:5" ht="12.75">
      <c r="B10" s="35" t="e">
        <f t="shared" si="0"/>
        <v>#REF!</v>
      </c>
      <c r="C10" s="35" t="e">
        <f t="shared" si="4"/>
        <v>#REF!</v>
      </c>
      <c r="D10" s="35" t="e">
        <f t="shared" si="2"/>
        <v>#REF!</v>
      </c>
      <c r="E10" s="35" t="e">
        <f t="shared" si="3"/>
        <v>#REF!</v>
      </c>
    </row>
    <row r="11" spans="2:5" ht="12.75">
      <c r="B11" s="35" t="e">
        <f t="shared" si="0"/>
        <v>#REF!</v>
      </c>
      <c r="C11" s="35" t="e">
        <f t="shared" si="4"/>
        <v>#REF!</v>
      </c>
      <c r="D11" s="35" t="e">
        <f t="shared" si="2"/>
        <v>#REF!</v>
      </c>
      <c r="E11" s="35" t="e">
        <f t="shared" si="3"/>
        <v>#REF!</v>
      </c>
    </row>
    <row r="12" spans="2:5" ht="12.75">
      <c r="B12" s="35" t="e">
        <f t="shared" si="0"/>
        <v>#REF!</v>
      </c>
      <c r="C12" s="35" t="e">
        <f t="shared" si="4"/>
        <v>#REF!</v>
      </c>
      <c r="D12" s="35" t="e">
        <f t="shared" si="2"/>
        <v>#REF!</v>
      </c>
      <c r="E12" s="35" t="e">
        <f t="shared" si="3"/>
        <v>#REF!</v>
      </c>
    </row>
    <row r="13" spans="2:5" ht="12.75">
      <c r="B13" s="35" t="e">
        <f t="shared" si="0"/>
        <v>#REF!</v>
      </c>
      <c r="C13" s="35" t="e">
        <f t="shared" si="4"/>
        <v>#REF!</v>
      </c>
      <c r="D13" s="35" t="e">
        <f t="shared" si="2"/>
        <v>#REF!</v>
      </c>
      <c r="E13" s="35" t="e">
        <f t="shared" si="3"/>
        <v>#REF!</v>
      </c>
    </row>
    <row r="14" spans="2:5" ht="12.75">
      <c r="B14" s="35" t="e">
        <f t="shared" si="0"/>
        <v>#REF!</v>
      </c>
      <c r="C14" s="35" t="e">
        <f t="shared" si="4"/>
        <v>#REF!</v>
      </c>
      <c r="D14" s="35" t="e">
        <f t="shared" si="2"/>
        <v>#REF!</v>
      </c>
      <c r="E14" s="35" t="e">
        <f t="shared" si="3"/>
        <v>#REF!</v>
      </c>
    </row>
    <row r="15" spans="2:5" ht="12.75">
      <c r="B15" s="35" t="e">
        <f t="shared" si="0"/>
        <v>#REF!</v>
      </c>
      <c r="C15" s="35" t="e">
        <f t="shared" si="4"/>
        <v>#REF!</v>
      </c>
      <c r="D15" s="35" t="e">
        <f t="shared" si="2"/>
        <v>#REF!</v>
      </c>
      <c r="E15" s="35" t="e">
        <f t="shared" si="3"/>
        <v>#REF!</v>
      </c>
    </row>
    <row r="16" spans="2:5" ht="12.75">
      <c r="B16" s="35" t="e">
        <f t="shared" si="0"/>
        <v>#REF!</v>
      </c>
      <c r="C16" s="35" t="e">
        <f t="shared" si="4"/>
        <v>#REF!</v>
      </c>
      <c r="D16" s="35" t="e">
        <f t="shared" si="2"/>
        <v>#REF!</v>
      </c>
      <c r="E16" s="35" t="e">
        <f t="shared" si="3"/>
        <v>#REF!</v>
      </c>
    </row>
    <row r="17" spans="2:5" ht="12.75">
      <c r="B17" s="35" t="e">
        <f t="shared" si="0"/>
        <v>#REF!</v>
      </c>
      <c r="C17" s="35" t="e">
        <f t="shared" si="4"/>
        <v>#REF!</v>
      </c>
      <c r="D17" s="35" t="e">
        <f t="shared" si="2"/>
        <v>#REF!</v>
      </c>
      <c r="E17" s="35" t="e">
        <f t="shared" si="3"/>
        <v>#REF!</v>
      </c>
    </row>
    <row r="18" spans="2:5" ht="12.75">
      <c r="B18" s="35" t="e">
        <f t="shared" si="0"/>
        <v>#REF!</v>
      </c>
      <c r="C18" s="35" t="e">
        <f t="shared" si="4"/>
        <v>#REF!</v>
      </c>
      <c r="D18" s="35" t="e">
        <f t="shared" si="2"/>
        <v>#REF!</v>
      </c>
      <c r="E18" s="35" t="e">
        <f t="shared" si="3"/>
        <v>#REF!</v>
      </c>
    </row>
    <row r="19" spans="2:5" ht="12.75">
      <c r="B19" s="35" t="e">
        <f t="shared" si="0"/>
        <v>#REF!</v>
      </c>
      <c r="C19" s="35" t="e">
        <f t="shared" si="4"/>
        <v>#REF!</v>
      </c>
      <c r="D19" s="35" t="e">
        <f t="shared" si="2"/>
        <v>#REF!</v>
      </c>
      <c r="E19" s="35" t="e">
        <f t="shared" si="3"/>
        <v>#REF!</v>
      </c>
    </row>
    <row r="20" spans="2:5" ht="12.75">
      <c r="B20" s="35" t="e">
        <f t="shared" si="0"/>
        <v>#REF!</v>
      </c>
      <c r="C20" s="35" t="e">
        <f t="shared" si="4"/>
        <v>#REF!</v>
      </c>
      <c r="D20" s="35" t="e">
        <f t="shared" si="2"/>
        <v>#REF!</v>
      </c>
      <c r="E20" s="35" t="e">
        <f t="shared" si="3"/>
        <v>#REF!</v>
      </c>
    </row>
    <row r="21" spans="2:5" ht="12.75">
      <c r="B21" s="35" t="e">
        <f t="shared" si="0"/>
        <v>#REF!</v>
      </c>
      <c r="C21" s="35" t="e">
        <f t="shared" si="4"/>
        <v>#REF!</v>
      </c>
      <c r="D21" s="35" t="e">
        <f t="shared" si="2"/>
        <v>#REF!</v>
      </c>
      <c r="E21" s="35" t="e">
        <f t="shared" si="3"/>
        <v>#REF!</v>
      </c>
    </row>
    <row r="22" spans="2:5" ht="12.75">
      <c r="B22" s="35" t="e">
        <f t="shared" si="0"/>
        <v>#REF!</v>
      </c>
      <c r="C22" s="35" t="e">
        <f t="shared" si="4"/>
        <v>#REF!</v>
      </c>
      <c r="D22" s="35" t="e">
        <f t="shared" si="2"/>
        <v>#REF!</v>
      </c>
      <c r="E22" s="35" t="e">
        <f t="shared" si="3"/>
        <v>#REF!</v>
      </c>
    </row>
    <row r="23" spans="2:5" ht="12.75">
      <c r="B23" s="35" t="e">
        <f t="shared" si="0"/>
        <v>#REF!</v>
      </c>
      <c r="C23" s="35" t="e">
        <f t="shared" si="4"/>
        <v>#REF!</v>
      </c>
      <c r="D23" s="35" t="e">
        <f t="shared" si="2"/>
        <v>#REF!</v>
      </c>
      <c r="E23" s="35" t="e">
        <f t="shared" si="3"/>
        <v>#REF!</v>
      </c>
    </row>
    <row r="24" spans="2:5" ht="12.75">
      <c r="B24" s="35" t="e">
        <f t="shared" si="0"/>
        <v>#REF!</v>
      </c>
      <c r="C24" s="35" t="e">
        <f t="shared" si="4"/>
        <v>#REF!</v>
      </c>
      <c r="D24" s="35" t="e">
        <f t="shared" si="2"/>
        <v>#REF!</v>
      </c>
      <c r="E24" s="35" t="e">
        <f t="shared" si="3"/>
        <v>#REF!</v>
      </c>
    </row>
    <row r="25" spans="2:5" ht="12.75">
      <c r="B25" s="35" t="e">
        <f t="shared" si="0"/>
        <v>#REF!</v>
      </c>
      <c r="C25" s="35" t="e">
        <f t="shared" si="4"/>
        <v>#REF!</v>
      </c>
      <c r="D25" s="35" t="e">
        <f t="shared" si="2"/>
        <v>#REF!</v>
      </c>
      <c r="E25" s="35" t="e">
        <f t="shared" si="3"/>
        <v>#REF!</v>
      </c>
    </row>
    <row r="26" spans="2:5" ht="12.75">
      <c r="B26" s="35" t="e">
        <f t="shared" si="0"/>
        <v>#REF!</v>
      </c>
      <c r="C26" s="35" t="e">
        <f t="shared" si="4"/>
        <v>#REF!</v>
      </c>
      <c r="D26" s="35" t="e">
        <f t="shared" si="2"/>
        <v>#REF!</v>
      </c>
      <c r="E26" s="35" t="e">
        <f t="shared" si="3"/>
        <v>#REF!</v>
      </c>
    </row>
    <row r="27" spans="2:5" ht="12.75">
      <c r="B27" s="35" t="e">
        <f t="shared" si="0"/>
        <v>#REF!</v>
      </c>
      <c r="C27" s="35" t="e">
        <f t="shared" si="4"/>
        <v>#REF!</v>
      </c>
      <c r="D27" s="35" t="e">
        <f t="shared" si="2"/>
        <v>#REF!</v>
      </c>
      <c r="E27" s="35" t="e">
        <f t="shared" si="3"/>
        <v>#REF!</v>
      </c>
    </row>
    <row r="28" spans="2:5" ht="12.75">
      <c r="B28" s="35" t="e">
        <f t="shared" si="0"/>
        <v>#REF!</v>
      </c>
      <c r="C28" s="35" t="e">
        <f t="shared" si="4"/>
        <v>#REF!</v>
      </c>
      <c r="D28" s="35" t="e">
        <f t="shared" si="2"/>
        <v>#REF!</v>
      </c>
      <c r="E28" s="35" t="e">
        <f t="shared" si="3"/>
        <v>#REF!</v>
      </c>
    </row>
    <row r="29" spans="2:5" ht="12.75">
      <c r="B29" s="35" t="e">
        <f t="shared" si="0"/>
        <v>#REF!</v>
      </c>
      <c r="C29" s="35" t="e">
        <f t="shared" si="4"/>
        <v>#REF!</v>
      </c>
      <c r="D29" s="35" t="e">
        <f t="shared" si="2"/>
        <v>#REF!</v>
      </c>
      <c r="E29" s="35" t="e">
        <f t="shared" si="3"/>
        <v>#REF!</v>
      </c>
    </row>
    <row r="30" spans="2:5" ht="12.75">
      <c r="B30" s="35" t="e">
        <f t="shared" si="0"/>
        <v>#REF!</v>
      </c>
      <c r="C30" s="35" t="e">
        <f t="shared" si="4"/>
        <v>#REF!</v>
      </c>
      <c r="D30" s="35" t="e">
        <f t="shared" si="2"/>
        <v>#REF!</v>
      </c>
      <c r="E30" s="35" t="e">
        <f t="shared" si="3"/>
        <v>#REF!</v>
      </c>
    </row>
    <row r="31" spans="2:5" ht="12.75">
      <c r="B31" s="35" t="e">
        <f t="shared" si="0"/>
        <v>#REF!</v>
      </c>
      <c r="C31" s="35" t="e">
        <f t="shared" si="4"/>
        <v>#REF!</v>
      </c>
      <c r="D31" s="35" t="e">
        <f t="shared" si="2"/>
        <v>#REF!</v>
      </c>
      <c r="E31" s="35" t="e">
        <f t="shared" si="3"/>
        <v>#REF!</v>
      </c>
    </row>
    <row r="32" spans="2:5" ht="12.75">
      <c r="B32" s="35" t="e">
        <f t="shared" si="0"/>
        <v>#REF!</v>
      </c>
      <c r="C32" s="35" t="e">
        <f t="shared" si="4"/>
        <v>#REF!</v>
      </c>
      <c r="D32" s="35" t="e">
        <f t="shared" si="2"/>
        <v>#REF!</v>
      </c>
      <c r="E32" s="35" t="e">
        <f t="shared" si="3"/>
        <v>#REF!</v>
      </c>
    </row>
    <row r="33" spans="2:5" ht="12.75">
      <c r="B33" s="35" t="e">
        <f t="shared" si="0"/>
        <v>#REF!</v>
      </c>
      <c r="C33" s="35" t="e">
        <f t="shared" si="4"/>
        <v>#REF!</v>
      </c>
      <c r="D33" s="35" t="e">
        <f t="shared" si="2"/>
        <v>#REF!</v>
      </c>
      <c r="E33" s="35" t="e">
        <f t="shared" si="3"/>
        <v>#REF!</v>
      </c>
    </row>
    <row r="34" spans="2:5" ht="12.75">
      <c r="B34" s="35" t="e">
        <f t="shared" si="0"/>
        <v>#REF!</v>
      </c>
      <c r="C34" s="35" t="e">
        <f t="shared" si="4"/>
        <v>#REF!</v>
      </c>
      <c r="D34" s="35" t="e">
        <f t="shared" si="2"/>
        <v>#REF!</v>
      </c>
      <c r="E34" s="35" t="e">
        <f t="shared" si="3"/>
        <v>#REF!</v>
      </c>
    </row>
    <row r="35" spans="2:5" ht="12.75">
      <c r="B35" s="35" t="e">
        <f t="shared" si="0"/>
        <v>#REF!</v>
      </c>
      <c r="C35" s="35" t="e">
        <f t="shared" si="4"/>
        <v>#REF!</v>
      </c>
      <c r="D35" s="35" t="e">
        <f t="shared" si="2"/>
        <v>#REF!</v>
      </c>
      <c r="E35" s="35" t="e">
        <f t="shared" si="3"/>
        <v>#REF!</v>
      </c>
    </row>
    <row r="36" spans="2:5" ht="12.75">
      <c r="B36" s="35" t="e">
        <f t="shared" si="0"/>
        <v>#REF!</v>
      </c>
      <c r="C36" s="35" t="e">
        <f t="shared" si="4"/>
        <v>#REF!</v>
      </c>
      <c r="D36" s="35" t="e">
        <f t="shared" si="2"/>
        <v>#REF!</v>
      </c>
      <c r="E36" s="35" t="e">
        <f t="shared" si="3"/>
        <v>#REF!</v>
      </c>
    </row>
    <row r="37" spans="2:5" ht="12.75">
      <c r="B37" s="35" t="e">
        <f t="shared" si="0"/>
        <v>#REF!</v>
      </c>
      <c r="C37" s="35" t="e">
        <f t="shared" si="4"/>
        <v>#REF!</v>
      </c>
      <c r="D37" s="35" t="e">
        <f t="shared" si="2"/>
        <v>#REF!</v>
      </c>
      <c r="E37" s="35" t="e">
        <f t="shared" si="3"/>
        <v>#REF!</v>
      </c>
    </row>
    <row r="38" spans="2:5" ht="12.75">
      <c r="B38" s="35" t="e">
        <f t="shared" si="0"/>
        <v>#REF!</v>
      </c>
      <c r="C38" s="35" t="e">
        <f t="shared" si="4"/>
        <v>#REF!</v>
      </c>
      <c r="D38" s="35" t="e">
        <f t="shared" si="2"/>
        <v>#REF!</v>
      </c>
      <c r="E38" s="35" t="e">
        <f t="shared" si="3"/>
        <v>#REF!</v>
      </c>
    </row>
    <row r="39" spans="2:5" ht="12.75">
      <c r="B39" s="35" t="e">
        <f t="shared" si="0"/>
        <v>#REF!</v>
      </c>
      <c r="C39" s="35" t="e">
        <f t="shared" si="4"/>
        <v>#REF!</v>
      </c>
      <c r="D39" s="35" t="e">
        <f t="shared" si="2"/>
        <v>#REF!</v>
      </c>
      <c r="E39" s="35" t="e">
        <f t="shared" si="3"/>
        <v>#REF!</v>
      </c>
    </row>
    <row r="40" spans="2:5" ht="12.75">
      <c r="B40" s="35" t="e">
        <f t="shared" si="0"/>
        <v>#REF!</v>
      </c>
      <c r="C40" s="35" t="e">
        <f t="shared" si="4"/>
        <v>#REF!</v>
      </c>
      <c r="D40" s="35" t="e">
        <f t="shared" si="2"/>
        <v>#REF!</v>
      </c>
      <c r="E40" s="35" t="e">
        <f t="shared" si="3"/>
        <v>#REF!</v>
      </c>
    </row>
    <row r="41" spans="2:5" ht="12.75">
      <c r="B41" s="35" t="e">
        <f t="shared" si="0"/>
        <v>#REF!</v>
      </c>
      <c r="C41" s="35" t="e">
        <f t="shared" si="4"/>
        <v>#REF!</v>
      </c>
      <c r="D41" s="35" t="e">
        <f t="shared" si="2"/>
        <v>#REF!</v>
      </c>
      <c r="E41" s="35" t="e">
        <f t="shared" si="3"/>
        <v>#REF!</v>
      </c>
    </row>
    <row r="42" spans="2:4" ht="12.75">
      <c r="B42" s="35" t="e">
        <f t="shared" si="0"/>
        <v>#REF!</v>
      </c>
      <c r="C42" s="35" t="e">
        <f t="shared" si="4"/>
        <v>#REF!</v>
      </c>
      <c r="D42" s="35" t="e">
        <f t="shared" si="2"/>
        <v>#REF!</v>
      </c>
    </row>
    <row r="43" spans="2:4" ht="12.75">
      <c r="B43" s="35" t="e">
        <f t="shared" si="0"/>
        <v>#REF!</v>
      </c>
      <c r="C43" s="35" t="e">
        <f t="shared" si="4"/>
        <v>#REF!</v>
      </c>
      <c r="D43" s="35" t="e">
        <f t="shared" si="2"/>
        <v>#REF!</v>
      </c>
    </row>
    <row r="44" spans="2:4" ht="12.75">
      <c r="B44" s="35" t="e">
        <f t="shared" si="0"/>
        <v>#REF!</v>
      </c>
      <c r="C44" s="35" t="e">
        <f t="shared" si="4"/>
        <v>#REF!</v>
      </c>
      <c r="D44" s="35" t="e">
        <f t="shared" si="2"/>
        <v>#REF!</v>
      </c>
    </row>
    <row r="45" spans="2:4" ht="12.75">
      <c r="B45" s="35" t="e">
        <f t="shared" si="0"/>
        <v>#REF!</v>
      </c>
      <c r="C45" s="35" t="e">
        <f t="shared" si="4"/>
        <v>#REF!</v>
      </c>
      <c r="D45" s="35" t="e">
        <f t="shared" si="2"/>
        <v>#REF!</v>
      </c>
    </row>
    <row r="46" spans="2:4" ht="12.75">
      <c r="B46" s="35" t="e">
        <f t="shared" si="0"/>
        <v>#REF!</v>
      </c>
      <c r="C46" s="35" t="e">
        <f t="shared" si="4"/>
        <v>#REF!</v>
      </c>
      <c r="D46" s="35" t="e">
        <f t="shared" si="2"/>
        <v>#REF!</v>
      </c>
    </row>
    <row r="47" spans="2:4" ht="12.75">
      <c r="B47" s="35" t="e">
        <f t="shared" si="0"/>
        <v>#REF!</v>
      </c>
      <c r="C47" s="35" t="e">
        <f t="shared" si="4"/>
        <v>#REF!</v>
      </c>
      <c r="D47" s="35" t="e">
        <f t="shared" si="2"/>
        <v>#REF!</v>
      </c>
    </row>
    <row r="48" spans="2:4" ht="12.75">
      <c r="B48" s="35" t="e">
        <f t="shared" si="0"/>
        <v>#REF!</v>
      </c>
      <c r="C48" s="35" t="e">
        <f t="shared" si="4"/>
        <v>#REF!</v>
      </c>
      <c r="D48" s="35" t="e">
        <f t="shared" si="2"/>
        <v>#REF!</v>
      </c>
    </row>
  </sheetData>
  <mergeCells count="1">
    <mergeCell ref="G2:I2"/>
  </mergeCells>
  <dataValidations count="1">
    <dataValidation type="list" allowBlank="1" sqref="A4:A5 A8:A48">
      <formula1>priortization!$A$1:$A$91</formula1>
    </dataValidation>
  </dataValidation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T48"/>
  <sheetViews>
    <sheetView workbookViewId="0" topLeftCell="A1">
      <pane ySplit="1" topLeftCell="A2" activePane="bottomLeft" state="frozen"/>
      <selection pane="bottomLeft" activeCell="B3" sqref="B3"/>
    </sheetView>
  </sheetViews>
  <sheetFormatPr defaultColWidth="14.421875" defaultRowHeight="12.75" customHeight="1"/>
  <cols>
    <col min="1" max="1" width="54.8515625" style="0" customWidth="1"/>
    <col min="2" max="2" width="6.8515625" style="0" customWidth="1"/>
    <col min="3" max="3" width="8.00390625" style="0" customWidth="1"/>
    <col min="4" max="4" width="7.7109375" style="0" customWidth="1"/>
    <col min="5" max="5" width="38.8515625" style="0" customWidth="1"/>
    <col min="6" max="6" width="9.00390625" style="0" customWidth="1"/>
    <col min="7" max="7" width="7.421875" style="0" customWidth="1"/>
    <col min="8" max="20" width="17.28125" style="0" customWidth="1"/>
  </cols>
  <sheetData>
    <row r="1" spans="1:20" ht="12.75">
      <c r="A1" s="3" t="s">
        <v>18</v>
      </c>
      <c r="B1" s="3" t="s">
        <v>19</v>
      </c>
      <c r="C1" s="3" t="s">
        <v>20</v>
      </c>
      <c r="D1" s="3" t="s">
        <v>21</v>
      </c>
      <c r="E1" s="3" t="s">
        <v>23</v>
      </c>
      <c r="F1" s="10"/>
      <c r="G1" s="10"/>
      <c r="H1" s="10"/>
      <c r="I1" s="10"/>
      <c r="J1" s="10"/>
      <c r="K1" s="10"/>
      <c r="L1" s="10"/>
      <c r="M1" s="10"/>
      <c r="N1" s="10"/>
      <c r="O1" s="10"/>
      <c r="P1" s="10"/>
      <c r="Q1" s="10"/>
      <c r="R1" s="10"/>
      <c r="S1" s="10"/>
      <c r="T1" s="10"/>
    </row>
    <row r="2" spans="1:7" ht="12.75">
      <c r="A2" s="86" t="s">
        <v>30</v>
      </c>
      <c r="B2" s="35" t="e">
        <f aca="true" t="shared" si="0" ref="B2:B48">IF(ISNA(VLOOKUP(A2,#REF!,10,FALSE)),IF(ISNA(VLOOKUP(A2,#REF!,10,FALSE)),"Fill in.",VLOOKUP(A2,#REF!,10,FALSE)),VLOOKUP(A2,#REF!,10,FALSE))</f>
        <v>#REF!</v>
      </c>
      <c r="C2" s="35" t="e">
        <f aca="true" t="shared" si="1" ref="C2:C3">IF(ISNA(VLOOKUP(A2,#REF!,4,FALSE)),IF(ISNA(VLOOKUP(A2,#REF!,4,FALSE)),"Fill in.",VLOOKUP(A2,#REF!,4,FALSE)),VLOOKUP(A2,#REF!,4,FALSE))</f>
        <v>#REF!</v>
      </c>
      <c r="D2" s="35" t="e">
        <f aca="true" t="shared" si="2" ref="D2:D48">IF(OR(C2="Fill in.",C2=""),"Get Size",VLOOKUP(C2,#REF!,4,FALSE))</f>
        <v>#REF!</v>
      </c>
      <c r="E2" s="35" t="e">
        <f aca="true" t="shared" si="3" ref="E2:E41">A2&amp;" ("&amp;C2&amp;"="&amp;D2&amp;")"</f>
        <v>#REF!</v>
      </c>
      <c r="F2" s="91" t="e">
        <f>SUM.LEGACY(D2:D5)</f>
        <v>#REF!</v>
      </c>
      <c r="G2" s="13" t="s">
        <v>278</v>
      </c>
    </row>
    <row r="3" spans="1:5" ht="12.75">
      <c r="A3" s="86" t="s">
        <v>174</v>
      </c>
      <c r="B3" s="35" t="e">
        <f t="shared" si="0"/>
        <v>#REF!</v>
      </c>
      <c r="C3" s="35" t="e">
        <f t="shared" si="1"/>
        <v>#REF!</v>
      </c>
      <c r="D3" s="35" t="e">
        <f t="shared" si="2"/>
        <v>#REF!</v>
      </c>
      <c r="E3" s="35" t="e">
        <f t="shared" si="3"/>
        <v>#REF!</v>
      </c>
    </row>
    <row r="4" spans="1:5" ht="12.75">
      <c r="A4" s="13" t="s">
        <v>282</v>
      </c>
      <c r="B4" s="35" t="e">
        <f t="shared" si="0"/>
        <v>#REF!</v>
      </c>
      <c r="C4" s="13" t="s">
        <v>96</v>
      </c>
      <c r="D4" s="35" t="e">
        <f t="shared" si="2"/>
        <v>#REF!</v>
      </c>
      <c r="E4" s="35" t="e">
        <f t="shared" si="3"/>
        <v>#REF!</v>
      </c>
    </row>
    <row r="5" spans="1:5" ht="12.75">
      <c r="A5" s="95" t="s">
        <v>286</v>
      </c>
      <c r="B5" s="35" t="e">
        <f t="shared" si="0"/>
        <v>#REF!</v>
      </c>
      <c r="C5" s="35" t="e">
        <f aca="true" t="shared" si="4" ref="C5:C48">IF(ISNA(VLOOKUP(A5,#REF!,4,FALSE)),IF(ISNA(VLOOKUP(A5,#REF!,4,FALSE)),"Fill in.",VLOOKUP(A5,#REF!,4,FALSE)),VLOOKUP(A5,#REF!,4,FALSE))</f>
        <v>#REF!</v>
      </c>
      <c r="D5" s="35" t="e">
        <f t="shared" si="2"/>
        <v>#REF!</v>
      </c>
      <c r="E5" s="35" t="e">
        <f t="shared" si="3"/>
        <v>#REF!</v>
      </c>
    </row>
    <row r="6" spans="1:5" ht="12.75">
      <c r="A6" s="97"/>
      <c r="B6" s="99" t="e">
        <f t="shared" si="0"/>
        <v>#REF!</v>
      </c>
      <c r="C6" s="35" t="e">
        <f t="shared" si="4"/>
        <v>#REF!</v>
      </c>
      <c r="D6" s="35" t="e">
        <f t="shared" si="2"/>
        <v>#REF!</v>
      </c>
      <c r="E6" s="35" t="e">
        <f t="shared" si="3"/>
        <v>#REF!</v>
      </c>
    </row>
    <row r="7" spans="1:5" ht="12.75">
      <c r="A7" s="97"/>
      <c r="B7" s="99" t="e">
        <f t="shared" si="0"/>
        <v>#REF!</v>
      </c>
      <c r="C7" s="35" t="e">
        <f t="shared" si="4"/>
        <v>#REF!</v>
      </c>
      <c r="D7" s="35" t="e">
        <f t="shared" si="2"/>
        <v>#REF!</v>
      </c>
      <c r="E7" s="35" t="e">
        <f t="shared" si="3"/>
        <v>#REF!</v>
      </c>
    </row>
    <row r="8" spans="1:5" ht="12.75">
      <c r="A8" s="21"/>
      <c r="B8" s="35" t="e">
        <f t="shared" si="0"/>
        <v>#REF!</v>
      </c>
      <c r="C8" s="35" t="e">
        <f t="shared" si="4"/>
        <v>#REF!</v>
      </c>
      <c r="D8" s="35" t="e">
        <f t="shared" si="2"/>
        <v>#REF!</v>
      </c>
      <c r="E8" s="35" t="e">
        <f t="shared" si="3"/>
        <v>#REF!</v>
      </c>
    </row>
    <row r="9" spans="2:5" ht="12.75">
      <c r="B9" s="35" t="e">
        <f t="shared" si="0"/>
        <v>#REF!</v>
      </c>
      <c r="C9" s="35" t="e">
        <f t="shared" si="4"/>
        <v>#REF!</v>
      </c>
      <c r="D9" s="35" t="e">
        <f t="shared" si="2"/>
        <v>#REF!</v>
      </c>
      <c r="E9" s="35" t="e">
        <f t="shared" si="3"/>
        <v>#REF!</v>
      </c>
    </row>
    <row r="10" spans="2:5" ht="12.75">
      <c r="B10" s="35" t="e">
        <f t="shared" si="0"/>
        <v>#REF!</v>
      </c>
      <c r="C10" s="35" t="e">
        <f t="shared" si="4"/>
        <v>#REF!</v>
      </c>
      <c r="D10" s="35" t="e">
        <f t="shared" si="2"/>
        <v>#REF!</v>
      </c>
      <c r="E10" s="35" t="e">
        <f t="shared" si="3"/>
        <v>#REF!</v>
      </c>
    </row>
    <row r="11" spans="2:5" ht="12.75">
      <c r="B11" s="35" t="e">
        <f t="shared" si="0"/>
        <v>#REF!</v>
      </c>
      <c r="C11" s="35" t="e">
        <f t="shared" si="4"/>
        <v>#REF!</v>
      </c>
      <c r="D11" s="35" t="e">
        <f t="shared" si="2"/>
        <v>#REF!</v>
      </c>
      <c r="E11" s="35" t="e">
        <f t="shared" si="3"/>
        <v>#REF!</v>
      </c>
    </row>
    <row r="12" spans="2:5" ht="12.75">
      <c r="B12" s="35" t="e">
        <f t="shared" si="0"/>
        <v>#REF!</v>
      </c>
      <c r="C12" s="35" t="e">
        <f t="shared" si="4"/>
        <v>#REF!</v>
      </c>
      <c r="D12" s="35" t="e">
        <f t="shared" si="2"/>
        <v>#REF!</v>
      </c>
      <c r="E12" s="35" t="e">
        <f t="shared" si="3"/>
        <v>#REF!</v>
      </c>
    </row>
    <row r="13" spans="2:5" ht="12.75">
      <c r="B13" s="35" t="e">
        <f t="shared" si="0"/>
        <v>#REF!</v>
      </c>
      <c r="C13" s="35" t="e">
        <f t="shared" si="4"/>
        <v>#REF!</v>
      </c>
      <c r="D13" s="35" t="e">
        <f t="shared" si="2"/>
        <v>#REF!</v>
      </c>
      <c r="E13" s="35" t="e">
        <f t="shared" si="3"/>
        <v>#REF!</v>
      </c>
    </row>
    <row r="14" spans="2:5" ht="12.75">
      <c r="B14" s="35" t="e">
        <f t="shared" si="0"/>
        <v>#REF!</v>
      </c>
      <c r="C14" s="35" t="e">
        <f t="shared" si="4"/>
        <v>#REF!</v>
      </c>
      <c r="D14" s="35" t="e">
        <f t="shared" si="2"/>
        <v>#REF!</v>
      </c>
      <c r="E14" s="35" t="e">
        <f t="shared" si="3"/>
        <v>#REF!</v>
      </c>
    </row>
    <row r="15" spans="2:5" ht="12.75">
      <c r="B15" s="35" t="e">
        <f t="shared" si="0"/>
        <v>#REF!</v>
      </c>
      <c r="C15" s="35" t="e">
        <f t="shared" si="4"/>
        <v>#REF!</v>
      </c>
      <c r="D15" s="35" t="e">
        <f t="shared" si="2"/>
        <v>#REF!</v>
      </c>
      <c r="E15" s="35" t="e">
        <f t="shared" si="3"/>
        <v>#REF!</v>
      </c>
    </row>
    <row r="16" spans="2:5" ht="12.75">
      <c r="B16" s="35" t="e">
        <f t="shared" si="0"/>
        <v>#REF!</v>
      </c>
      <c r="C16" s="35" t="e">
        <f t="shared" si="4"/>
        <v>#REF!</v>
      </c>
      <c r="D16" s="35" t="e">
        <f t="shared" si="2"/>
        <v>#REF!</v>
      </c>
      <c r="E16" s="35" t="e">
        <f t="shared" si="3"/>
        <v>#REF!</v>
      </c>
    </row>
    <row r="17" spans="2:5" ht="12.75">
      <c r="B17" s="35" t="e">
        <f t="shared" si="0"/>
        <v>#REF!</v>
      </c>
      <c r="C17" s="35" t="e">
        <f t="shared" si="4"/>
        <v>#REF!</v>
      </c>
      <c r="D17" s="35" t="e">
        <f t="shared" si="2"/>
        <v>#REF!</v>
      </c>
      <c r="E17" s="35" t="e">
        <f t="shared" si="3"/>
        <v>#REF!</v>
      </c>
    </row>
    <row r="18" spans="2:5" ht="12.75">
      <c r="B18" s="35" t="e">
        <f t="shared" si="0"/>
        <v>#REF!</v>
      </c>
      <c r="C18" s="35" t="e">
        <f t="shared" si="4"/>
        <v>#REF!</v>
      </c>
      <c r="D18" s="35" t="e">
        <f t="shared" si="2"/>
        <v>#REF!</v>
      </c>
      <c r="E18" s="35" t="e">
        <f t="shared" si="3"/>
        <v>#REF!</v>
      </c>
    </row>
    <row r="19" spans="2:5" ht="12.75">
      <c r="B19" s="35" t="e">
        <f t="shared" si="0"/>
        <v>#REF!</v>
      </c>
      <c r="C19" s="35" t="e">
        <f t="shared" si="4"/>
        <v>#REF!</v>
      </c>
      <c r="D19" s="35" t="e">
        <f t="shared" si="2"/>
        <v>#REF!</v>
      </c>
      <c r="E19" s="35" t="e">
        <f t="shared" si="3"/>
        <v>#REF!</v>
      </c>
    </row>
    <row r="20" spans="2:5" ht="12.75">
      <c r="B20" s="35" t="e">
        <f t="shared" si="0"/>
        <v>#REF!</v>
      </c>
      <c r="C20" s="35" t="e">
        <f t="shared" si="4"/>
        <v>#REF!</v>
      </c>
      <c r="D20" s="35" t="e">
        <f t="shared" si="2"/>
        <v>#REF!</v>
      </c>
      <c r="E20" s="35" t="e">
        <f t="shared" si="3"/>
        <v>#REF!</v>
      </c>
    </row>
    <row r="21" spans="2:5" ht="12.75">
      <c r="B21" s="35" t="e">
        <f t="shared" si="0"/>
        <v>#REF!</v>
      </c>
      <c r="C21" s="35" t="e">
        <f t="shared" si="4"/>
        <v>#REF!</v>
      </c>
      <c r="D21" s="35" t="e">
        <f t="shared" si="2"/>
        <v>#REF!</v>
      </c>
      <c r="E21" s="35" t="e">
        <f t="shared" si="3"/>
        <v>#REF!</v>
      </c>
    </row>
    <row r="22" spans="2:5" ht="12.75">
      <c r="B22" s="35" t="e">
        <f t="shared" si="0"/>
        <v>#REF!</v>
      </c>
      <c r="C22" s="35" t="e">
        <f t="shared" si="4"/>
        <v>#REF!</v>
      </c>
      <c r="D22" s="35" t="e">
        <f t="shared" si="2"/>
        <v>#REF!</v>
      </c>
      <c r="E22" s="35" t="e">
        <f t="shared" si="3"/>
        <v>#REF!</v>
      </c>
    </row>
    <row r="23" spans="2:5" ht="12.75">
      <c r="B23" s="35" t="e">
        <f t="shared" si="0"/>
        <v>#REF!</v>
      </c>
      <c r="C23" s="35" t="e">
        <f t="shared" si="4"/>
        <v>#REF!</v>
      </c>
      <c r="D23" s="35" t="e">
        <f t="shared" si="2"/>
        <v>#REF!</v>
      </c>
      <c r="E23" s="35" t="e">
        <f t="shared" si="3"/>
        <v>#REF!</v>
      </c>
    </row>
    <row r="24" spans="2:5" ht="12.75">
      <c r="B24" s="35" t="e">
        <f t="shared" si="0"/>
        <v>#REF!</v>
      </c>
      <c r="C24" s="35" t="e">
        <f t="shared" si="4"/>
        <v>#REF!</v>
      </c>
      <c r="D24" s="35" t="e">
        <f t="shared" si="2"/>
        <v>#REF!</v>
      </c>
      <c r="E24" s="35" t="e">
        <f t="shared" si="3"/>
        <v>#REF!</v>
      </c>
    </row>
    <row r="25" spans="2:5" ht="12.75">
      <c r="B25" s="35" t="e">
        <f t="shared" si="0"/>
        <v>#REF!</v>
      </c>
      <c r="C25" s="35" t="e">
        <f t="shared" si="4"/>
        <v>#REF!</v>
      </c>
      <c r="D25" s="35" t="e">
        <f t="shared" si="2"/>
        <v>#REF!</v>
      </c>
      <c r="E25" s="35" t="e">
        <f t="shared" si="3"/>
        <v>#REF!</v>
      </c>
    </row>
    <row r="26" spans="2:5" ht="12.75">
      <c r="B26" s="35" t="e">
        <f t="shared" si="0"/>
        <v>#REF!</v>
      </c>
      <c r="C26" s="35" t="e">
        <f t="shared" si="4"/>
        <v>#REF!</v>
      </c>
      <c r="D26" s="35" t="e">
        <f t="shared" si="2"/>
        <v>#REF!</v>
      </c>
      <c r="E26" s="35" t="e">
        <f t="shared" si="3"/>
        <v>#REF!</v>
      </c>
    </row>
    <row r="27" spans="2:5" ht="12.75">
      <c r="B27" s="35" t="e">
        <f t="shared" si="0"/>
        <v>#REF!</v>
      </c>
      <c r="C27" s="35" t="e">
        <f t="shared" si="4"/>
        <v>#REF!</v>
      </c>
      <c r="D27" s="35" t="e">
        <f t="shared" si="2"/>
        <v>#REF!</v>
      </c>
      <c r="E27" s="35" t="e">
        <f t="shared" si="3"/>
        <v>#REF!</v>
      </c>
    </row>
    <row r="28" spans="2:5" ht="12.75">
      <c r="B28" s="35" t="e">
        <f t="shared" si="0"/>
        <v>#REF!</v>
      </c>
      <c r="C28" s="35" t="e">
        <f t="shared" si="4"/>
        <v>#REF!</v>
      </c>
      <c r="D28" s="35" t="e">
        <f t="shared" si="2"/>
        <v>#REF!</v>
      </c>
      <c r="E28" s="35" t="e">
        <f t="shared" si="3"/>
        <v>#REF!</v>
      </c>
    </row>
    <row r="29" spans="2:5" ht="12.75">
      <c r="B29" s="35" t="e">
        <f t="shared" si="0"/>
        <v>#REF!</v>
      </c>
      <c r="C29" s="35" t="e">
        <f t="shared" si="4"/>
        <v>#REF!</v>
      </c>
      <c r="D29" s="35" t="e">
        <f t="shared" si="2"/>
        <v>#REF!</v>
      </c>
      <c r="E29" s="35" t="e">
        <f t="shared" si="3"/>
        <v>#REF!</v>
      </c>
    </row>
    <row r="30" spans="2:5" ht="12.75">
      <c r="B30" s="35" t="e">
        <f t="shared" si="0"/>
        <v>#REF!</v>
      </c>
      <c r="C30" s="35" t="e">
        <f t="shared" si="4"/>
        <v>#REF!</v>
      </c>
      <c r="D30" s="35" t="e">
        <f t="shared" si="2"/>
        <v>#REF!</v>
      </c>
      <c r="E30" s="35" t="e">
        <f t="shared" si="3"/>
        <v>#REF!</v>
      </c>
    </row>
    <row r="31" spans="2:5" ht="12.75">
      <c r="B31" s="35" t="e">
        <f t="shared" si="0"/>
        <v>#REF!</v>
      </c>
      <c r="C31" s="35" t="e">
        <f t="shared" si="4"/>
        <v>#REF!</v>
      </c>
      <c r="D31" s="35" t="e">
        <f t="shared" si="2"/>
        <v>#REF!</v>
      </c>
      <c r="E31" s="35" t="e">
        <f t="shared" si="3"/>
        <v>#REF!</v>
      </c>
    </row>
    <row r="32" spans="2:5" ht="12.75">
      <c r="B32" s="35" t="e">
        <f t="shared" si="0"/>
        <v>#REF!</v>
      </c>
      <c r="C32" s="35" t="e">
        <f t="shared" si="4"/>
        <v>#REF!</v>
      </c>
      <c r="D32" s="35" t="e">
        <f t="shared" si="2"/>
        <v>#REF!</v>
      </c>
      <c r="E32" s="35" t="e">
        <f t="shared" si="3"/>
        <v>#REF!</v>
      </c>
    </row>
    <row r="33" spans="2:5" ht="12.75">
      <c r="B33" s="35" t="e">
        <f t="shared" si="0"/>
        <v>#REF!</v>
      </c>
      <c r="C33" s="35" t="e">
        <f t="shared" si="4"/>
        <v>#REF!</v>
      </c>
      <c r="D33" s="35" t="e">
        <f t="shared" si="2"/>
        <v>#REF!</v>
      </c>
      <c r="E33" s="35" t="e">
        <f t="shared" si="3"/>
        <v>#REF!</v>
      </c>
    </row>
    <row r="34" spans="2:5" ht="12.75">
      <c r="B34" s="35" t="e">
        <f t="shared" si="0"/>
        <v>#REF!</v>
      </c>
      <c r="C34" s="35" t="e">
        <f t="shared" si="4"/>
        <v>#REF!</v>
      </c>
      <c r="D34" s="35" t="e">
        <f t="shared" si="2"/>
        <v>#REF!</v>
      </c>
      <c r="E34" s="35" t="e">
        <f t="shared" si="3"/>
        <v>#REF!</v>
      </c>
    </row>
    <row r="35" spans="2:5" ht="12.75">
      <c r="B35" s="35" t="e">
        <f t="shared" si="0"/>
        <v>#REF!</v>
      </c>
      <c r="C35" s="35" t="e">
        <f t="shared" si="4"/>
        <v>#REF!</v>
      </c>
      <c r="D35" s="35" t="e">
        <f t="shared" si="2"/>
        <v>#REF!</v>
      </c>
      <c r="E35" s="35" t="e">
        <f t="shared" si="3"/>
        <v>#REF!</v>
      </c>
    </row>
    <row r="36" spans="2:5" ht="12.75">
      <c r="B36" s="35" t="e">
        <f t="shared" si="0"/>
        <v>#REF!</v>
      </c>
      <c r="C36" s="35" t="e">
        <f t="shared" si="4"/>
        <v>#REF!</v>
      </c>
      <c r="D36" s="35" t="e">
        <f t="shared" si="2"/>
        <v>#REF!</v>
      </c>
      <c r="E36" s="35" t="e">
        <f t="shared" si="3"/>
        <v>#REF!</v>
      </c>
    </row>
    <row r="37" spans="2:5" ht="12.75">
      <c r="B37" s="35" t="e">
        <f t="shared" si="0"/>
        <v>#REF!</v>
      </c>
      <c r="C37" s="35" t="e">
        <f t="shared" si="4"/>
        <v>#REF!</v>
      </c>
      <c r="D37" s="35" t="e">
        <f t="shared" si="2"/>
        <v>#REF!</v>
      </c>
      <c r="E37" s="35" t="e">
        <f t="shared" si="3"/>
        <v>#REF!</v>
      </c>
    </row>
    <row r="38" spans="2:5" ht="12.75">
      <c r="B38" s="35" t="e">
        <f t="shared" si="0"/>
        <v>#REF!</v>
      </c>
      <c r="C38" s="35" t="e">
        <f t="shared" si="4"/>
        <v>#REF!</v>
      </c>
      <c r="D38" s="35" t="e">
        <f t="shared" si="2"/>
        <v>#REF!</v>
      </c>
      <c r="E38" s="35" t="e">
        <f t="shared" si="3"/>
        <v>#REF!</v>
      </c>
    </row>
    <row r="39" spans="2:5" ht="12.75">
      <c r="B39" s="35" t="e">
        <f t="shared" si="0"/>
        <v>#REF!</v>
      </c>
      <c r="C39" s="35" t="e">
        <f t="shared" si="4"/>
        <v>#REF!</v>
      </c>
      <c r="D39" s="35" t="e">
        <f t="shared" si="2"/>
        <v>#REF!</v>
      </c>
      <c r="E39" s="35" t="e">
        <f t="shared" si="3"/>
        <v>#REF!</v>
      </c>
    </row>
    <row r="40" spans="2:5" ht="12.75">
      <c r="B40" s="35" t="e">
        <f t="shared" si="0"/>
        <v>#REF!</v>
      </c>
      <c r="C40" s="35" t="e">
        <f t="shared" si="4"/>
        <v>#REF!</v>
      </c>
      <c r="D40" s="35" t="e">
        <f t="shared" si="2"/>
        <v>#REF!</v>
      </c>
      <c r="E40" s="35" t="e">
        <f t="shared" si="3"/>
        <v>#REF!</v>
      </c>
    </row>
    <row r="41" spans="2:5" ht="12.75">
      <c r="B41" s="35" t="e">
        <f t="shared" si="0"/>
        <v>#REF!</v>
      </c>
      <c r="C41" s="35" t="e">
        <f t="shared" si="4"/>
        <v>#REF!</v>
      </c>
      <c r="D41" s="35" t="e">
        <f t="shared" si="2"/>
        <v>#REF!</v>
      </c>
      <c r="E41" s="35" t="e">
        <f t="shared" si="3"/>
        <v>#REF!</v>
      </c>
    </row>
    <row r="42" spans="2:4" ht="12.75">
      <c r="B42" s="35" t="e">
        <f t="shared" si="0"/>
        <v>#REF!</v>
      </c>
      <c r="C42" s="35" t="e">
        <f t="shared" si="4"/>
        <v>#REF!</v>
      </c>
      <c r="D42" s="35" t="e">
        <f t="shared" si="2"/>
        <v>#REF!</v>
      </c>
    </row>
    <row r="43" spans="2:4" ht="12.75">
      <c r="B43" s="35" t="e">
        <f t="shared" si="0"/>
        <v>#REF!</v>
      </c>
      <c r="C43" s="35" t="e">
        <f t="shared" si="4"/>
        <v>#REF!</v>
      </c>
      <c r="D43" s="35" t="e">
        <f t="shared" si="2"/>
        <v>#REF!</v>
      </c>
    </row>
    <row r="44" spans="2:4" ht="12.75">
      <c r="B44" s="35" t="e">
        <f t="shared" si="0"/>
        <v>#REF!</v>
      </c>
      <c r="C44" s="35" t="e">
        <f t="shared" si="4"/>
        <v>#REF!</v>
      </c>
      <c r="D44" s="35" t="e">
        <f t="shared" si="2"/>
        <v>#REF!</v>
      </c>
    </row>
    <row r="45" spans="2:4" ht="12.75">
      <c r="B45" s="35" t="e">
        <f t="shared" si="0"/>
        <v>#REF!</v>
      </c>
      <c r="C45" s="35" t="e">
        <f t="shared" si="4"/>
        <v>#REF!</v>
      </c>
      <c r="D45" s="35" t="e">
        <f t="shared" si="2"/>
        <v>#REF!</v>
      </c>
    </row>
    <row r="46" spans="2:4" ht="12.75">
      <c r="B46" s="35" t="e">
        <f t="shared" si="0"/>
        <v>#REF!</v>
      </c>
      <c r="C46" s="35" t="e">
        <f t="shared" si="4"/>
        <v>#REF!</v>
      </c>
      <c r="D46" s="35" t="e">
        <f t="shared" si="2"/>
        <v>#REF!</v>
      </c>
    </row>
    <row r="47" spans="2:4" ht="12.75">
      <c r="B47" s="35" t="e">
        <f t="shared" si="0"/>
        <v>#REF!</v>
      </c>
      <c r="C47" s="35" t="e">
        <f t="shared" si="4"/>
        <v>#REF!</v>
      </c>
      <c r="D47" s="35" t="e">
        <f t="shared" si="2"/>
        <v>#REF!</v>
      </c>
    </row>
    <row r="48" spans="2:4" ht="12.75">
      <c r="B48" s="35" t="e">
        <f t="shared" si="0"/>
        <v>#REF!</v>
      </c>
      <c r="C48" s="35" t="e">
        <f t="shared" si="4"/>
        <v>#REF!</v>
      </c>
      <c r="D48" s="35" t="e">
        <f t="shared" si="2"/>
        <v>#REF!</v>
      </c>
    </row>
  </sheetData>
  <mergeCells count="1">
    <mergeCell ref="G2:I2"/>
  </mergeCells>
  <dataValidations count="1">
    <dataValidation type="list" allowBlank="1" sqref="A4:A5 A8:A48">
      <formula1>priortization!$A$1:$A$91</formula1>
    </dataValidation>
  </dataValidation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T48"/>
  <sheetViews>
    <sheetView workbookViewId="0" topLeftCell="A1">
      <pane ySplit="1" topLeftCell="A2" activePane="bottomLeft" state="frozen"/>
      <selection pane="bottomLeft" activeCell="B3" sqref="B3"/>
    </sheetView>
  </sheetViews>
  <sheetFormatPr defaultColWidth="14.421875" defaultRowHeight="12.75" customHeight="1"/>
  <cols>
    <col min="1" max="1" width="54.8515625" style="0" customWidth="1"/>
    <col min="2" max="2" width="6.8515625" style="0" customWidth="1"/>
    <col min="3" max="3" width="8.00390625" style="0" customWidth="1"/>
    <col min="4" max="4" width="7.7109375" style="0" customWidth="1"/>
    <col min="5" max="5" width="38.8515625" style="0" customWidth="1"/>
    <col min="6" max="6" width="9.00390625" style="0" customWidth="1"/>
    <col min="7" max="7" width="7.421875" style="0" customWidth="1"/>
    <col min="8" max="20" width="17.28125" style="0" customWidth="1"/>
  </cols>
  <sheetData>
    <row r="1" spans="1:20" ht="12.75">
      <c r="A1" s="3" t="s">
        <v>18</v>
      </c>
      <c r="B1" s="3" t="s">
        <v>19</v>
      </c>
      <c r="C1" s="3" t="s">
        <v>20</v>
      </c>
      <c r="D1" s="3" t="s">
        <v>21</v>
      </c>
      <c r="E1" s="3" t="s">
        <v>23</v>
      </c>
      <c r="F1" s="10"/>
      <c r="G1" s="10"/>
      <c r="H1" s="10"/>
      <c r="I1" s="10"/>
      <c r="J1" s="10"/>
      <c r="K1" s="10"/>
      <c r="L1" s="10"/>
      <c r="M1" s="10"/>
      <c r="N1" s="10"/>
      <c r="O1" s="10"/>
      <c r="P1" s="10"/>
      <c r="Q1" s="10"/>
      <c r="R1" s="10"/>
      <c r="S1" s="10"/>
      <c r="T1" s="10"/>
    </row>
    <row r="2" spans="1:7" ht="12.75">
      <c r="A2" s="86" t="s">
        <v>268</v>
      </c>
      <c r="B2" s="35" t="e">
        <f aca="true" t="shared" si="0" ref="B2:B48">IF(ISNA(VLOOKUP(A2,#REF!,10,FALSE)),IF(ISNA(VLOOKUP(A2,#REF!,10,FALSE)),"Fill in.",VLOOKUP(A2,#REF!,10,FALSE)),VLOOKUP(A2,#REF!,10,FALSE))</f>
        <v>#REF!</v>
      </c>
      <c r="C2" s="35" t="e">
        <f aca="true" t="shared" si="1" ref="C2:C48">IF(ISNA(VLOOKUP(A2,#REF!,4,FALSE)),IF(ISNA(VLOOKUP(A2,#REF!,4,FALSE)),"Fill in.",VLOOKUP(A2,#REF!,4,FALSE)),VLOOKUP(A2,#REF!,4,FALSE))</f>
        <v>#REF!</v>
      </c>
      <c r="D2" s="35" t="e">
        <f aca="true" t="shared" si="2" ref="D2:D48">IF(OR(C2="Fill in.",C2=""),"Get Size",VLOOKUP(C2,#REF!,4,FALSE))</f>
        <v>#REF!</v>
      </c>
      <c r="E2" s="35" t="e">
        <f aca="true" t="shared" si="3" ref="E2:E41">A2&amp;" ("&amp;C2&amp;"="&amp;D2&amp;")"</f>
        <v>#REF!</v>
      </c>
      <c r="F2" s="91" t="e">
        <f>SUM(D2:D5)</f>
        <v>#REF!</v>
      </c>
      <c r="G2" s="13" t="s">
        <v>278</v>
      </c>
    </row>
    <row r="3" spans="1:5" ht="12.75">
      <c r="A3" s="86" t="s">
        <v>288</v>
      </c>
      <c r="B3" s="35" t="e">
        <f t="shared" si="0"/>
        <v>#REF!</v>
      </c>
      <c r="C3" s="35" t="e">
        <f t="shared" si="1"/>
        <v>#REF!</v>
      </c>
      <c r="D3" s="35" t="e">
        <f t="shared" si="2"/>
        <v>#REF!</v>
      </c>
      <c r="E3" s="35" t="e">
        <f t="shared" si="3"/>
        <v>#REF!</v>
      </c>
    </row>
    <row r="4" spans="1:5" ht="12.75">
      <c r="A4" s="13" t="s">
        <v>228</v>
      </c>
      <c r="B4" s="35" t="e">
        <f t="shared" si="0"/>
        <v>#REF!</v>
      </c>
      <c r="C4" s="35" t="e">
        <f t="shared" si="1"/>
        <v>#REF!</v>
      </c>
      <c r="D4" s="35" t="e">
        <f t="shared" si="2"/>
        <v>#REF!</v>
      </c>
      <c r="E4" s="35" t="e">
        <f t="shared" si="3"/>
        <v>#REF!</v>
      </c>
    </row>
    <row r="5" spans="1:5" ht="12.75">
      <c r="A5" s="95" t="s">
        <v>301</v>
      </c>
      <c r="B5" s="35" t="e">
        <f t="shared" si="0"/>
        <v>#REF!</v>
      </c>
      <c r="C5" s="35" t="e">
        <f t="shared" si="1"/>
        <v>#REF!</v>
      </c>
      <c r="D5" s="35" t="e">
        <f t="shared" si="2"/>
        <v>#REF!</v>
      </c>
      <c r="E5" s="35" t="e">
        <f t="shared" si="3"/>
        <v>#REF!</v>
      </c>
    </row>
    <row r="6" spans="1:5" ht="12.75">
      <c r="A6" s="97"/>
      <c r="B6" s="99" t="e">
        <f t="shared" si="0"/>
        <v>#REF!</v>
      </c>
      <c r="C6" s="35" t="e">
        <f t="shared" si="1"/>
        <v>#REF!</v>
      </c>
      <c r="D6" s="35" t="e">
        <f t="shared" si="2"/>
        <v>#REF!</v>
      </c>
      <c r="E6" s="35" t="e">
        <f t="shared" si="3"/>
        <v>#REF!</v>
      </c>
    </row>
    <row r="7" spans="1:5" ht="12.75">
      <c r="A7" s="97"/>
      <c r="B7" s="99" t="e">
        <f t="shared" si="0"/>
        <v>#REF!</v>
      </c>
      <c r="C7" s="35" t="e">
        <f t="shared" si="1"/>
        <v>#REF!</v>
      </c>
      <c r="D7" s="35" t="e">
        <f t="shared" si="2"/>
        <v>#REF!</v>
      </c>
      <c r="E7" s="35" t="e">
        <f t="shared" si="3"/>
        <v>#REF!</v>
      </c>
    </row>
    <row r="8" spans="1:5" ht="12.75">
      <c r="A8" s="21"/>
      <c r="B8" s="35" t="e">
        <f t="shared" si="0"/>
        <v>#REF!</v>
      </c>
      <c r="C8" s="35" t="e">
        <f t="shared" si="1"/>
        <v>#REF!</v>
      </c>
      <c r="D8" s="35" t="e">
        <f t="shared" si="2"/>
        <v>#REF!</v>
      </c>
      <c r="E8" s="35" t="e">
        <f t="shared" si="3"/>
        <v>#REF!</v>
      </c>
    </row>
    <row r="9" spans="2:5" ht="12.75">
      <c r="B9" s="35" t="e">
        <f t="shared" si="0"/>
        <v>#REF!</v>
      </c>
      <c r="C9" s="35" t="e">
        <f t="shared" si="1"/>
        <v>#REF!</v>
      </c>
      <c r="D9" s="35" t="e">
        <f t="shared" si="2"/>
        <v>#REF!</v>
      </c>
      <c r="E9" s="35" t="e">
        <f t="shared" si="3"/>
        <v>#REF!</v>
      </c>
    </row>
    <row r="10" spans="2:5" ht="12.75">
      <c r="B10" s="35" t="e">
        <f t="shared" si="0"/>
        <v>#REF!</v>
      </c>
      <c r="C10" s="35" t="e">
        <f t="shared" si="1"/>
        <v>#REF!</v>
      </c>
      <c r="D10" s="35" t="e">
        <f t="shared" si="2"/>
        <v>#REF!</v>
      </c>
      <c r="E10" s="35" t="e">
        <f t="shared" si="3"/>
        <v>#REF!</v>
      </c>
    </row>
    <row r="11" spans="2:5" ht="12.75">
      <c r="B11" s="35" t="e">
        <f t="shared" si="0"/>
        <v>#REF!</v>
      </c>
      <c r="C11" s="35" t="e">
        <f t="shared" si="1"/>
        <v>#REF!</v>
      </c>
      <c r="D11" s="35" t="e">
        <f t="shared" si="2"/>
        <v>#REF!</v>
      </c>
      <c r="E11" s="35" t="e">
        <f t="shared" si="3"/>
        <v>#REF!</v>
      </c>
    </row>
    <row r="12" spans="2:5" ht="12.75">
      <c r="B12" s="35" t="e">
        <f t="shared" si="0"/>
        <v>#REF!</v>
      </c>
      <c r="C12" s="35" t="e">
        <f t="shared" si="1"/>
        <v>#REF!</v>
      </c>
      <c r="D12" s="35" t="e">
        <f t="shared" si="2"/>
        <v>#REF!</v>
      </c>
      <c r="E12" s="35" t="e">
        <f t="shared" si="3"/>
        <v>#REF!</v>
      </c>
    </row>
    <row r="13" spans="2:5" ht="12.75">
      <c r="B13" s="35" t="e">
        <f t="shared" si="0"/>
        <v>#REF!</v>
      </c>
      <c r="C13" s="35" t="e">
        <f t="shared" si="1"/>
        <v>#REF!</v>
      </c>
      <c r="D13" s="35" t="e">
        <f t="shared" si="2"/>
        <v>#REF!</v>
      </c>
      <c r="E13" s="35" t="e">
        <f t="shared" si="3"/>
        <v>#REF!</v>
      </c>
    </row>
    <row r="14" spans="2:5" ht="12.75">
      <c r="B14" s="35" t="e">
        <f t="shared" si="0"/>
        <v>#REF!</v>
      </c>
      <c r="C14" s="35" t="e">
        <f t="shared" si="1"/>
        <v>#REF!</v>
      </c>
      <c r="D14" s="35" t="e">
        <f t="shared" si="2"/>
        <v>#REF!</v>
      </c>
      <c r="E14" s="35" t="e">
        <f t="shared" si="3"/>
        <v>#REF!</v>
      </c>
    </row>
    <row r="15" spans="2:5" ht="12.75">
      <c r="B15" s="35" t="e">
        <f t="shared" si="0"/>
        <v>#REF!</v>
      </c>
      <c r="C15" s="35" t="e">
        <f t="shared" si="1"/>
        <v>#REF!</v>
      </c>
      <c r="D15" s="35" t="e">
        <f t="shared" si="2"/>
        <v>#REF!</v>
      </c>
      <c r="E15" s="35" t="e">
        <f t="shared" si="3"/>
        <v>#REF!</v>
      </c>
    </row>
    <row r="16" spans="2:5" ht="12.75">
      <c r="B16" s="35" t="e">
        <f t="shared" si="0"/>
        <v>#REF!</v>
      </c>
      <c r="C16" s="35" t="e">
        <f t="shared" si="1"/>
        <v>#REF!</v>
      </c>
      <c r="D16" s="35" t="e">
        <f t="shared" si="2"/>
        <v>#REF!</v>
      </c>
      <c r="E16" s="35" t="e">
        <f t="shared" si="3"/>
        <v>#REF!</v>
      </c>
    </row>
    <row r="17" spans="2:5" ht="12.75">
      <c r="B17" s="35" t="e">
        <f t="shared" si="0"/>
        <v>#REF!</v>
      </c>
      <c r="C17" s="35" t="e">
        <f t="shared" si="1"/>
        <v>#REF!</v>
      </c>
      <c r="D17" s="35" t="e">
        <f t="shared" si="2"/>
        <v>#REF!</v>
      </c>
      <c r="E17" s="35" t="e">
        <f t="shared" si="3"/>
        <v>#REF!</v>
      </c>
    </row>
    <row r="18" spans="2:5" ht="12.75">
      <c r="B18" s="35" t="e">
        <f t="shared" si="0"/>
        <v>#REF!</v>
      </c>
      <c r="C18" s="35" t="e">
        <f t="shared" si="1"/>
        <v>#REF!</v>
      </c>
      <c r="D18" s="35" t="e">
        <f t="shared" si="2"/>
        <v>#REF!</v>
      </c>
      <c r="E18" s="35" t="e">
        <f t="shared" si="3"/>
        <v>#REF!</v>
      </c>
    </row>
    <row r="19" spans="2:5" ht="12.75">
      <c r="B19" s="35" t="e">
        <f t="shared" si="0"/>
        <v>#REF!</v>
      </c>
      <c r="C19" s="35" t="e">
        <f t="shared" si="1"/>
        <v>#REF!</v>
      </c>
      <c r="D19" s="35" t="e">
        <f t="shared" si="2"/>
        <v>#REF!</v>
      </c>
      <c r="E19" s="35" t="e">
        <f t="shared" si="3"/>
        <v>#REF!</v>
      </c>
    </row>
    <row r="20" spans="2:5" ht="12.75">
      <c r="B20" s="35" t="e">
        <f t="shared" si="0"/>
        <v>#REF!</v>
      </c>
      <c r="C20" s="35" t="e">
        <f t="shared" si="1"/>
        <v>#REF!</v>
      </c>
      <c r="D20" s="35" t="e">
        <f t="shared" si="2"/>
        <v>#REF!</v>
      </c>
      <c r="E20" s="35" t="e">
        <f t="shared" si="3"/>
        <v>#REF!</v>
      </c>
    </row>
    <row r="21" spans="2:5" ht="12.75">
      <c r="B21" s="35" t="e">
        <f t="shared" si="0"/>
        <v>#REF!</v>
      </c>
      <c r="C21" s="35" t="e">
        <f t="shared" si="1"/>
        <v>#REF!</v>
      </c>
      <c r="D21" s="35" t="e">
        <f t="shared" si="2"/>
        <v>#REF!</v>
      </c>
      <c r="E21" s="35" t="e">
        <f t="shared" si="3"/>
        <v>#REF!</v>
      </c>
    </row>
    <row r="22" spans="2:5" ht="12.75">
      <c r="B22" s="35" t="e">
        <f t="shared" si="0"/>
        <v>#REF!</v>
      </c>
      <c r="C22" s="35" t="e">
        <f t="shared" si="1"/>
        <v>#REF!</v>
      </c>
      <c r="D22" s="35" t="e">
        <f t="shared" si="2"/>
        <v>#REF!</v>
      </c>
      <c r="E22" s="35" t="e">
        <f t="shared" si="3"/>
        <v>#REF!</v>
      </c>
    </row>
    <row r="23" spans="2:5" ht="12.75">
      <c r="B23" s="35" t="e">
        <f t="shared" si="0"/>
        <v>#REF!</v>
      </c>
      <c r="C23" s="35" t="e">
        <f t="shared" si="1"/>
        <v>#REF!</v>
      </c>
      <c r="D23" s="35" t="e">
        <f t="shared" si="2"/>
        <v>#REF!</v>
      </c>
      <c r="E23" s="35" t="e">
        <f t="shared" si="3"/>
        <v>#REF!</v>
      </c>
    </row>
    <row r="24" spans="2:5" ht="12.75">
      <c r="B24" s="35" t="e">
        <f t="shared" si="0"/>
        <v>#REF!</v>
      </c>
      <c r="C24" s="35" t="e">
        <f t="shared" si="1"/>
        <v>#REF!</v>
      </c>
      <c r="D24" s="35" t="e">
        <f t="shared" si="2"/>
        <v>#REF!</v>
      </c>
      <c r="E24" s="35" t="e">
        <f t="shared" si="3"/>
        <v>#REF!</v>
      </c>
    </row>
    <row r="25" spans="2:5" ht="12.75">
      <c r="B25" s="35" t="e">
        <f t="shared" si="0"/>
        <v>#REF!</v>
      </c>
      <c r="C25" s="35" t="e">
        <f t="shared" si="1"/>
        <v>#REF!</v>
      </c>
      <c r="D25" s="35" t="e">
        <f t="shared" si="2"/>
        <v>#REF!</v>
      </c>
      <c r="E25" s="35" t="e">
        <f t="shared" si="3"/>
        <v>#REF!</v>
      </c>
    </row>
    <row r="26" spans="2:5" ht="12.75">
      <c r="B26" s="35" t="e">
        <f t="shared" si="0"/>
        <v>#REF!</v>
      </c>
      <c r="C26" s="35" t="e">
        <f t="shared" si="1"/>
        <v>#REF!</v>
      </c>
      <c r="D26" s="35" t="e">
        <f t="shared" si="2"/>
        <v>#REF!</v>
      </c>
      <c r="E26" s="35" t="e">
        <f t="shared" si="3"/>
        <v>#REF!</v>
      </c>
    </row>
    <row r="27" spans="2:5" ht="12.75">
      <c r="B27" s="35" t="e">
        <f t="shared" si="0"/>
        <v>#REF!</v>
      </c>
      <c r="C27" s="35" t="e">
        <f t="shared" si="1"/>
        <v>#REF!</v>
      </c>
      <c r="D27" s="35" t="e">
        <f t="shared" si="2"/>
        <v>#REF!</v>
      </c>
      <c r="E27" s="35" t="e">
        <f t="shared" si="3"/>
        <v>#REF!</v>
      </c>
    </row>
    <row r="28" spans="2:5" ht="12.75">
      <c r="B28" s="35" t="e">
        <f t="shared" si="0"/>
        <v>#REF!</v>
      </c>
      <c r="C28" s="35" t="e">
        <f t="shared" si="1"/>
        <v>#REF!</v>
      </c>
      <c r="D28" s="35" t="e">
        <f t="shared" si="2"/>
        <v>#REF!</v>
      </c>
      <c r="E28" s="35" t="e">
        <f t="shared" si="3"/>
        <v>#REF!</v>
      </c>
    </row>
    <row r="29" spans="2:5" ht="12.75">
      <c r="B29" s="35" t="e">
        <f t="shared" si="0"/>
        <v>#REF!</v>
      </c>
      <c r="C29" s="35" t="e">
        <f t="shared" si="1"/>
        <v>#REF!</v>
      </c>
      <c r="D29" s="35" t="e">
        <f t="shared" si="2"/>
        <v>#REF!</v>
      </c>
      <c r="E29" s="35" t="e">
        <f t="shared" si="3"/>
        <v>#REF!</v>
      </c>
    </row>
    <row r="30" spans="2:5" ht="12.75">
      <c r="B30" s="35" t="e">
        <f t="shared" si="0"/>
        <v>#REF!</v>
      </c>
      <c r="C30" s="35" t="e">
        <f t="shared" si="1"/>
        <v>#REF!</v>
      </c>
      <c r="D30" s="35" t="e">
        <f t="shared" si="2"/>
        <v>#REF!</v>
      </c>
      <c r="E30" s="35" t="e">
        <f t="shared" si="3"/>
        <v>#REF!</v>
      </c>
    </row>
    <row r="31" spans="2:5" ht="12.75">
      <c r="B31" s="35" t="e">
        <f t="shared" si="0"/>
        <v>#REF!</v>
      </c>
      <c r="C31" s="35" t="e">
        <f t="shared" si="1"/>
        <v>#REF!</v>
      </c>
      <c r="D31" s="35" t="e">
        <f t="shared" si="2"/>
        <v>#REF!</v>
      </c>
      <c r="E31" s="35" t="e">
        <f t="shared" si="3"/>
        <v>#REF!</v>
      </c>
    </row>
    <row r="32" spans="2:5" ht="12.75">
      <c r="B32" s="35" t="e">
        <f t="shared" si="0"/>
        <v>#REF!</v>
      </c>
      <c r="C32" s="35" t="e">
        <f t="shared" si="1"/>
        <v>#REF!</v>
      </c>
      <c r="D32" s="35" t="e">
        <f t="shared" si="2"/>
        <v>#REF!</v>
      </c>
      <c r="E32" s="35" t="e">
        <f t="shared" si="3"/>
        <v>#REF!</v>
      </c>
    </row>
    <row r="33" spans="2:5" ht="12.75">
      <c r="B33" s="35" t="e">
        <f t="shared" si="0"/>
        <v>#REF!</v>
      </c>
      <c r="C33" s="35" t="e">
        <f t="shared" si="1"/>
        <v>#REF!</v>
      </c>
      <c r="D33" s="35" t="e">
        <f t="shared" si="2"/>
        <v>#REF!</v>
      </c>
      <c r="E33" s="35" t="e">
        <f t="shared" si="3"/>
        <v>#REF!</v>
      </c>
    </row>
    <row r="34" spans="2:5" ht="12.75">
      <c r="B34" s="35" t="e">
        <f t="shared" si="0"/>
        <v>#REF!</v>
      </c>
      <c r="C34" s="35" t="e">
        <f t="shared" si="1"/>
        <v>#REF!</v>
      </c>
      <c r="D34" s="35" t="e">
        <f t="shared" si="2"/>
        <v>#REF!</v>
      </c>
      <c r="E34" s="35" t="e">
        <f t="shared" si="3"/>
        <v>#REF!</v>
      </c>
    </row>
    <row r="35" spans="2:5" ht="12.75">
      <c r="B35" s="35" t="e">
        <f t="shared" si="0"/>
        <v>#REF!</v>
      </c>
      <c r="C35" s="35" t="e">
        <f t="shared" si="1"/>
        <v>#REF!</v>
      </c>
      <c r="D35" s="35" t="e">
        <f t="shared" si="2"/>
        <v>#REF!</v>
      </c>
      <c r="E35" s="35" t="e">
        <f t="shared" si="3"/>
        <v>#REF!</v>
      </c>
    </row>
    <row r="36" spans="2:5" ht="12.75">
      <c r="B36" s="35" t="e">
        <f t="shared" si="0"/>
        <v>#REF!</v>
      </c>
      <c r="C36" s="35" t="e">
        <f t="shared" si="1"/>
        <v>#REF!</v>
      </c>
      <c r="D36" s="35" t="e">
        <f t="shared" si="2"/>
        <v>#REF!</v>
      </c>
      <c r="E36" s="35" t="e">
        <f t="shared" si="3"/>
        <v>#REF!</v>
      </c>
    </row>
    <row r="37" spans="2:5" ht="12.75">
      <c r="B37" s="35" t="e">
        <f t="shared" si="0"/>
        <v>#REF!</v>
      </c>
      <c r="C37" s="35" t="e">
        <f t="shared" si="1"/>
        <v>#REF!</v>
      </c>
      <c r="D37" s="35" t="e">
        <f t="shared" si="2"/>
        <v>#REF!</v>
      </c>
      <c r="E37" s="35" t="e">
        <f t="shared" si="3"/>
        <v>#REF!</v>
      </c>
    </row>
    <row r="38" spans="2:5" ht="12.75">
      <c r="B38" s="35" t="e">
        <f t="shared" si="0"/>
        <v>#REF!</v>
      </c>
      <c r="C38" s="35" t="e">
        <f t="shared" si="1"/>
        <v>#REF!</v>
      </c>
      <c r="D38" s="35" t="e">
        <f t="shared" si="2"/>
        <v>#REF!</v>
      </c>
      <c r="E38" s="35" t="e">
        <f t="shared" si="3"/>
        <v>#REF!</v>
      </c>
    </row>
    <row r="39" spans="2:5" ht="12.75">
      <c r="B39" s="35" t="e">
        <f t="shared" si="0"/>
        <v>#REF!</v>
      </c>
      <c r="C39" s="35" t="e">
        <f t="shared" si="1"/>
        <v>#REF!</v>
      </c>
      <c r="D39" s="35" t="e">
        <f t="shared" si="2"/>
        <v>#REF!</v>
      </c>
      <c r="E39" s="35" t="e">
        <f t="shared" si="3"/>
        <v>#REF!</v>
      </c>
    </row>
    <row r="40" spans="2:5" ht="12.75">
      <c r="B40" s="35" t="e">
        <f t="shared" si="0"/>
        <v>#REF!</v>
      </c>
      <c r="C40" s="35" t="e">
        <f t="shared" si="1"/>
        <v>#REF!</v>
      </c>
      <c r="D40" s="35" t="e">
        <f t="shared" si="2"/>
        <v>#REF!</v>
      </c>
      <c r="E40" s="35" t="e">
        <f t="shared" si="3"/>
        <v>#REF!</v>
      </c>
    </row>
    <row r="41" spans="2:5" ht="12.75">
      <c r="B41" s="35" t="e">
        <f t="shared" si="0"/>
        <v>#REF!</v>
      </c>
      <c r="C41" s="35" t="e">
        <f t="shared" si="1"/>
        <v>#REF!</v>
      </c>
      <c r="D41" s="35" t="e">
        <f t="shared" si="2"/>
        <v>#REF!</v>
      </c>
      <c r="E41" s="35" t="e">
        <f t="shared" si="3"/>
        <v>#REF!</v>
      </c>
    </row>
    <row r="42" spans="2:4" ht="12.75">
      <c r="B42" s="35" t="e">
        <f t="shared" si="0"/>
        <v>#REF!</v>
      </c>
      <c r="C42" s="35" t="e">
        <f t="shared" si="1"/>
        <v>#REF!</v>
      </c>
      <c r="D42" s="35" t="e">
        <f t="shared" si="2"/>
        <v>#REF!</v>
      </c>
    </row>
    <row r="43" spans="2:4" ht="12.75">
      <c r="B43" s="35" t="e">
        <f t="shared" si="0"/>
        <v>#REF!</v>
      </c>
      <c r="C43" s="35" t="e">
        <f t="shared" si="1"/>
        <v>#REF!</v>
      </c>
      <c r="D43" s="35" t="e">
        <f t="shared" si="2"/>
        <v>#REF!</v>
      </c>
    </row>
    <row r="44" spans="2:4" ht="12.75">
      <c r="B44" s="35" t="e">
        <f t="shared" si="0"/>
        <v>#REF!</v>
      </c>
      <c r="C44" s="35" t="e">
        <f t="shared" si="1"/>
        <v>#REF!</v>
      </c>
      <c r="D44" s="35" t="e">
        <f t="shared" si="2"/>
        <v>#REF!</v>
      </c>
    </row>
    <row r="45" spans="2:4" ht="12.75">
      <c r="B45" s="35" t="e">
        <f t="shared" si="0"/>
        <v>#REF!</v>
      </c>
      <c r="C45" s="35" t="e">
        <f t="shared" si="1"/>
        <v>#REF!</v>
      </c>
      <c r="D45" s="35" t="e">
        <f t="shared" si="2"/>
        <v>#REF!</v>
      </c>
    </row>
    <row r="46" spans="2:4" ht="12.75">
      <c r="B46" s="35" t="e">
        <f t="shared" si="0"/>
        <v>#REF!</v>
      </c>
      <c r="C46" s="35" t="e">
        <f t="shared" si="1"/>
        <v>#REF!</v>
      </c>
      <c r="D46" s="35" t="e">
        <f t="shared" si="2"/>
        <v>#REF!</v>
      </c>
    </row>
    <row r="47" spans="2:4" ht="12.75">
      <c r="B47" s="35" t="e">
        <f t="shared" si="0"/>
        <v>#REF!</v>
      </c>
      <c r="C47" s="35" t="e">
        <f t="shared" si="1"/>
        <v>#REF!</v>
      </c>
      <c r="D47" s="35" t="e">
        <f t="shared" si="2"/>
        <v>#REF!</v>
      </c>
    </row>
    <row r="48" spans="2:4" ht="12.75">
      <c r="B48" s="35" t="e">
        <f t="shared" si="0"/>
        <v>#REF!</v>
      </c>
      <c r="C48" s="35" t="e">
        <f t="shared" si="1"/>
        <v>#REF!</v>
      </c>
      <c r="D48" s="35" t="e">
        <f t="shared" si="2"/>
        <v>#REF!</v>
      </c>
    </row>
  </sheetData>
  <mergeCells count="1">
    <mergeCell ref="G2:I2"/>
  </mergeCells>
  <dataValidations count="1">
    <dataValidation type="list" allowBlank="1" sqref="A4:A5 A8:A48">
      <formula1>priortization!$A$1:$A$91</formula1>
    </dataValidation>
  </dataValidation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T49"/>
  <sheetViews>
    <sheetView workbookViewId="0" topLeftCell="A1">
      <pane ySplit="1" topLeftCell="A2" activePane="bottomLeft" state="frozen"/>
      <selection pane="bottomLeft" activeCell="B3" sqref="B3"/>
    </sheetView>
  </sheetViews>
  <sheetFormatPr defaultColWidth="14.421875" defaultRowHeight="12.75" customHeight="1"/>
  <cols>
    <col min="1" max="1" width="54.8515625" style="0" customWidth="1"/>
    <col min="2" max="2" width="6.8515625" style="0" customWidth="1"/>
    <col min="3" max="3" width="8.00390625" style="0" customWidth="1"/>
    <col min="4" max="4" width="7.7109375" style="0" customWidth="1"/>
    <col min="5" max="5" width="38.8515625" style="0" customWidth="1"/>
    <col min="6" max="6" width="9.00390625" style="0" customWidth="1"/>
    <col min="7" max="7" width="7.421875" style="0" customWidth="1"/>
    <col min="8" max="20" width="17.28125" style="0" customWidth="1"/>
  </cols>
  <sheetData>
    <row r="1" spans="1:20" ht="12.75">
      <c r="A1" s="3" t="s">
        <v>18</v>
      </c>
      <c r="B1" s="3" t="s">
        <v>19</v>
      </c>
      <c r="C1" s="3" t="s">
        <v>20</v>
      </c>
      <c r="D1" s="3" t="s">
        <v>21</v>
      </c>
      <c r="E1" s="3" t="s">
        <v>23</v>
      </c>
      <c r="F1" s="10"/>
      <c r="G1" s="10"/>
      <c r="H1" s="10"/>
      <c r="I1" s="10"/>
      <c r="J1" s="10"/>
      <c r="K1" s="10"/>
      <c r="L1" s="10"/>
      <c r="M1" s="10"/>
      <c r="N1" s="10"/>
      <c r="O1" s="10"/>
      <c r="P1" s="10"/>
      <c r="Q1" s="10"/>
      <c r="R1" s="10"/>
      <c r="S1" s="10"/>
      <c r="T1" s="10"/>
    </row>
    <row r="2" spans="1:7" ht="12.75">
      <c r="A2" s="86" t="s">
        <v>30</v>
      </c>
      <c r="B2" s="35" t="e">
        <f aca="true" t="shared" si="0" ref="B2:B49">IF(ISNA(VLOOKUP(A2,#REF!,10,FALSE)),IF(ISNA(VLOOKUP(A2,#REF!,10,FALSE)),"Fill in.",VLOOKUP(A2,#REF!,10,FALSE)),VLOOKUP(A2,#REF!,10,FALSE))</f>
        <v>#REF!</v>
      </c>
      <c r="C2" s="35" t="e">
        <f aca="true" t="shared" si="1" ref="C2:C4">IF(ISNA(VLOOKUP(A2,#REF!,4,FALSE)),IF(ISNA(VLOOKUP(A2,#REF!,4,FALSE)),"Fill in.",VLOOKUP(A2,#REF!,4,FALSE)),VLOOKUP(A2,#REF!,4,FALSE))</f>
        <v>#REF!</v>
      </c>
      <c r="D2" s="35" t="e">
        <f aca="true" t="shared" si="2" ref="D2:D49">IF(OR(C2="Fill in.",C2=""),"Get Size",VLOOKUP(C2,#REF!,4,FALSE))</f>
        <v>#REF!</v>
      </c>
      <c r="E2" s="35" t="e">
        <f aca="true" t="shared" si="3" ref="E2:E18">A2&amp;" ("&amp;C2&amp;"="&amp;D2&amp;")"</f>
        <v>#REF!</v>
      </c>
      <c r="F2" s="91" t="e">
        <f>SUM.LEGACY(D2:D18)</f>
        <v>#REF!</v>
      </c>
      <c r="G2" s="13" t="s">
        <v>278</v>
      </c>
    </row>
    <row r="3" spans="1:5" ht="12.75">
      <c r="A3" s="86" t="s">
        <v>279</v>
      </c>
      <c r="B3" s="35" t="e">
        <f t="shared" si="0"/>
        <v>#REF!</v>
      </c>
      <c r="C3" s="35" t="e">
        <f t="shared" si="1"/>
        <v>#REF!</v>
      </c>
      <c r="D3" s="35" t="e">
        <f t="shared" si="2"/>
        <v>#REF!</v>
      </c>
      <c r="E3" s="35" t="e">
        <f t="shared" si="3"/>
        <v>#REF!</v>
      </c>
    </row>
    <row r="4" spans="1:5" ht="12.75">
      <c r="A4" s="13" t="s">
        <v>174</v>
      </c>
      <c r="B4" s="35" t="e">
        <f t="shared" si="0"/>
        <v>#REF!</v>
      </c>
      <c r="C4" s="35" t="e">
        <f t="shared" si="1"/>
        <v>#REF!</v>
      </c>
      <c r="D4" s="35" t="e">
        <f t="shared" si="2"/>
        <v>#REF!</v>
      </c>
      <c r="E4" s="35" t="e">
        <f t="shared" si="3"/>
        <v>#REF!</v>
      </c>
    </row>
    <row r="5" spans="1:5" ht="12.75">
      <c r="A5" s="13" t="s">
        <v>282</v>
      </c>
      <c r="B5" s="35" t="e">
        <f t="shared" si="0"/>
        <v>#REF!</v>
      </c>
      <c r="C5" s="13" t="s">
        <v>101</v>
      </c>
      <c r="D5" s="35" t="e">
        <f t="shared" si="2"/>
        <v>#REF!</v>
      </c>
      <c r="E5" s="35" t="e">
        <f t="shared" si="3"/>
        <v>#REF!</v>
      </c>
    </row>
    <row r="6" spans="1:5" ht="12.75">
      <c r="A6" s="95" t="s">
        <v>286</v>
      </c>
      <c r="B6" s="35" t="e">
        <f t="shared" si="0"/>
        <v>#REF!</v>
      </c>
      <c r="C6" s="35" t="e">
        <f>IF(ISNA(VLOOKUP(A6,#REF!,4,FALSE)),IF(ISNA(VLOOKUP(A6,#REF!,4,FALSE)),"Fill in.",VLOOKUP(A6,#REF!,4,FALSE)),VLOOKUP(A6,#REF!,4,FALSE))</f>
        <v>#REF!</v>
      </c>
      <c r="D6" s="35" t="e">
        <f t="shared" si="2"/>
        <v>#REF!</v>
      </c>
      <c r="E6" s="35" t="e">
        <f t="shared" si="3"/>
        <v>#REF!</v>
      </c>
    </row>
    <row r="7" spans="1:5" ht="12.75">
      <c r="A7" s="118" t="s">
        <v>301</v>
      </c>
      <c r="B7" s="99" t="e">
        <f t="shared" si="0"/>
        <v>#REF!</v>
      </c>
      <c r="C7" s="13" t="s">
        <v>96</v>
      </c>
      <c r="D7" s="35" t="e">
        <f t="shared" si="2"/>
        <v>#REF!</v>
      </c>
      <c r="E7" s="35" t="e">
        <f t="shared" si="3"/>
        <v>#REF!</v>
      </c>
    </row>
    <row r="8" spans="1:5" ht="12.75">
      <c r="A8" s="118" t="s">
        <v>370</v>
      </c>
      <c r="B8" s="99" t="e">
        <f t="shared" si="0"/>
        <v>#REF!</v>
      </c>
      <c r="C8" s="13" t="s">
        <v>96</v>
      </c>
      <c r="D8" s="35" t="e">
        <f t="shared" si="2"/>
        <v>#REF!</v>
      </c>
      <c r="E8" s="35" t="e">
        <f t="shared" si="3"/>
        <v>#REF!</v>
      </c>
    </row>
    <row r="9" spans="1:5" ht="12.75">
      <c r="A9" s="121" t="s">
        <v>374</v>
      </c>
      <c r="B9" s="35" t="e">
        <f t="shared" si="0"/>
        <v>#REF!</v>
      </c>
      <c r="C9" s="35" t="e">
        <f aca="true" t="shared" si="4" ref="C9:C15">IF(ISNA(VLOOKUP(A9,#REF!,4,FALSE)),IF(ISNA(VLOOKUP(A9,#REF!,4,FALSE)),"Fill in.",VLOOKUP(A9,#REF!,4,FALSE)),VLOOKUP(A9,#REF!,4,FALSE))</f>
        <v>#REF!</v>
      </c>
      <c r="D9" s="35" t="e">
        <f t="shared" si="2"/>
        <v>#REF!</v>
      </c>
      <c r="E9" s="35" t="e">
        <f t="shared" si="3"/>
        <v>#REF!</v>
      </c>
    </row>
    <row r="10" spans="1:5" ht="12.75">
      <c r="A10" s="13" t="s">
        <v>386</v>
      </c>
      <c r="B10" s="35" t="e">
        <f t="shared" si="0"/>
        <v>#REF!</v>
      </c>
      <c r="C10" s="35" t="e">
        <f t="shared" si="4"/>
        <v>#REF!</v>
      </c>
      <c r="D10" s="35" t="e">
        <f t="shared" si="2"/>
        <v>#REF!</v>
      </c>
      <c r="E10" s="35" t="e">
        <f t="shared" si="3"/>
        <v>#REF!</v>
      </c>
    </row>
    <row r="11" spans="1:5" ht="12.75">
      <c r="A11" s="13" t="s">
        <v>392</v>
      </c>
      <c r="B11" s="35" t="e">
        <f t="shared" si="0"/>
        <v>#REF!</v>
      </c>
      <c r="C11" s="35" t="e">
        <f t="shared" si="4"/>
        <v>#REF!</v>
      </c>
      <c r="D11" s="35" t="e">
        <f t="shared" si="2"/>
        <v>#REF!</v>
      </c>
      <c r="E11" s="35" t="e">
        <f t="shared" si="3"/>
        <v>#REF!</v>
      </c>
    </row>
    <row r="12" spans="1:5" ht="12.75">
      <c r="A12" s="13" t="s">
        <v>398</v>
      </c>
      <c r="B12" s="35" t="e">
        <f t="shared" si="0"/>
        <v>#REF!</v>
      </c>
      <c r="C12" s="35" t="e">
        <f t="shared" si="4"/>
        <v>#REF!</v>
      </c>
      <c r="D12" s="35" t="e">
        <f t="shared" si="2"/>
        <v>#REF!</v>
      </c>
      <c r="E12" s="35" t="e">
        <f t="shared" si="3"/>
        <v>#REF!</v>
      </c>
    </row>
    <row r="13" spans="1:5" ht="12.75">
      <c r="A13" s="13" t="s">
        <v>406</v>
      </c>
      <c r="B13" s="35" t="e">
        <f t="shared" si="0"/>
        <v>#REF!</v>
      </c>
      <c r="C13" s="35" t="e">
        <f t="shared" si="4"/>
        <v>#REF!</v>
      </c>
      <c r="D13" s="35" t="e">
        <f t="shared" si="2"/>
        <v>#REF!</v>
      </c>
      <c r="E13" s="35" t="e">
        <f t="shared" si="3"/>
        <v>#REF!</v>
      </c>
    </row>
    <row r="14" spans="1:5" ht="12.75">
      <c r="A14" s="13" t="s">
        <v>288</v>
      </c>
      <c r="B14" s="35" t="e">
        <f t="shared" si="0"/>
        <v>#REF!</v>
      </c>
      <c r="C14" s="35" t="e">
        <f t="shared" si="4"/>
        <v>#REF!</v>
      </c>
      <c r="D14" s="35" t="e">
        <f t="shared" si="2"/>
        <v>#REF!</v>
      </c>
      <c r="E14" s="35" t="e">
        <f t="shared" si="3"/>
        <v>#REF!</v>
      </c>
    </row>
    <row r="15" spans="1:5" ht="12.75">
      <c r="A15" s="13" t="s">
        <v>427</v>
      </c>
      <c r="B15" s="35" t="e">
        <f t="shared" si="0"/>
        <v>#REF!</v>
      </c>
      <c r="C15" s="35" t="e">
        <f t="shared" si="4"/>
        <v>#REF!</v>
      </c>
      <c r="D15" s="35" t="e">
        <f t="shared" si="2"/>
        <v>#REF!</v>
      </c>
      <c r="E15" s="35" t="e">
        <f t="shared" si="3"/>
        <v>#REF!</v>
      </c>
    </row>
    <row r="16" spans="1:5" ht="12.75">
      <c r="A16" s="13" t="s">
        <v>228</v>
      </c>
      <c r="B16" s="35" t="e">
        <f t="shared" si="0"/>
        <v>#REF!</v>
      </c>
      <c r="C16" s="13" t="s">
        <v>350</v>
      </c>
      <c r="D16" s="35" t="e">
        <f t="shared" si="2"/>
        <v>#REF!</v>
      </c>
      <c r="E16" s="35" t="e">
        <f t="shared" si="3"/>
        <v>#REF!</v>
      </c>
    </row>
    <row r="17" spans="1:5" ht="12.75">
      <c r="A17" s="13" t="s">
        <v>371</v>
      </c>
      <c r="B17" s="35" t="e">
        <f t="shared" si="0"/>
        <v>#REF!</v>
      </c>
      <c r="C17" s="13" t="s">
        <v>350</v>
      </c>
      <c r="D17" s="35" t="e">
        <f t="shared" si="2"/>
        <v>#REF!</v>
      </c>
      <c r="E17" s="35" t="e">
        <f t="shared" si="3"/>
        <v>#REF!</v>
      </c>
    </row>
    <row r="18" spans="1:5" ht="12.75">
      <c r="A18" s="13" t="s">
        <v>268</v>
      </c>
      <c r="B18" s="35" t="e">
        <f t="shared" si="0"/>
        <v>#REF!</v>
      </c>
      <c r="C18" s="35" t="e">
        <f aca="true" t="shared" si="5" ref="C18:C49">IF(ISNA(VLOOKUP(A18,#REF!,4,FALSE)),IF(ISNA(VLOOKUP(A18,#REF!,4,FALSE)),"Fill in.",VLOOKUP(A18,#REF!,4,FALSE)),VLOOKUP(A18,#REF!,4,FALSE))</f>
        <v>#REF!</v>
      </c>
      <c r="D18" s="35" t="e">
        <f t="shared" si="2"/>
        <v>#REF!</v>
      </c>
      <c r="E18" s="35" t="e">
        <f t="shared" si="3"/>
        <v>#REF!</v>
      </c>
    </row>
    <row r="19" spans="2:4" ht="12.75">
      <c r="B19" s="35" t="e">
        <f t="shared" si="0"/>
        <v>#REF!</v>
      </c>
      <c r="C19" s="35" t="e">
        <f t="shared" si="5"/>
        <v>#REF!</v>
      </c>
      <c r="D19" s="35" t="e">
        <f t="shared" si="2"/>
        <v>#REF!</v>
      </c>
    </row>
    <row r="20" spans="2:4" ht="12.75">
      <c r="B20" s="35" t="e">
        <f t="shared" si="0"/>
        <v>#REF!</v>
      </c>
      <c r="C20" s="35" t="e">
        <f t="shared" si="5"/>
        <v>#REF!</v>
      </c>
      <c r="D20" s="35" t="e">
        <f t="shared" si="2"/>
        <v>#REF!</v>
      </c>
    </row>
    <row r="21" spans="2:4" ht="12.75">
      <c r="B21" s="35" t="e">
        <f t="shared" si="0"/>
        <v>#REF!</v>
      </c>
      <c r="C21" s="35" t="e">
        <f t="shared" si="5"/>
        <v>#REF!</v>
      </c>
      <c r="D21" s="35" t="e">
        <f t="shared" si="2"/>
        <v>#REF!</v>
      </c>
    </row>
    <row r="22" spans="2:4" ht="12.75">
      <c r="B22" s="35" t="e">
        <f t="shared" si="0"/>
        <v>#REF!</v>
      </c>
      <c r="C22" s="35" t="e">
        <f t="shared" si="5"/>
        <v>#REF!</v>
      </c>
      <c r="D22" s="35" t="e">
        <f t="shared" si="2"/>
        <v>#REF!</v>
      </c>
    </row>
    <row r="23" spans="2:4" ht="12.75">
      <c r="B23" s="35" t="e">
        <f t="shared" si="0"/>
        <v>#REF!</v>
      </c>
      <c r="C23" s="35" t="e">
        <f t="shared" si="5"/>
        <v>#REF!</v>
      </c>
      <c r="D23" s="35" t="e">
        <f t="shared" si="2"/>
        <v>#REF!</v>
      </c>
    </row>
    <row r="24" spans="2:4" ht="12.75">
      <c r="B24" s="35" t="e">
        <f t="shared" si="0"/>
        <v>#REF!</v>
      </c>
      <c r="C24" s="35" t="e">
        <f t="shared" si="5"/>
        <v>#REF!</v>
      </c>
      <c r="D24" s="35" t="e">
        <f t="shared" si="2"/>
        <v>#REF!</v>
      </c>
    </row>
    <row r="25" spans="2:4" ht="12.75">
      <c r="B25" s="35" t="e">
        <f t="shared" si="0"/>
        <v>#REF!</v>
      </c>
      <c r="C25" s="35" t="e">
        <f t="shared" si="5"/>
        <v>#REF!</v>
      </c>
      <c r="D25" s="35" t="e">
        <f t="shared" si="2"/>
        <v>#REF!</v>
      </c>
    </row>
    <row r="26" spans="2:4" ht="12.75">
      <c r="B26" s="35" t="e">
        <f t="shared" si="0"/>
        <v>#REF!</v>
      </c>
      <c r="C26" s="35" t="e">
        <f t="shared" si="5"/>
        <v>#REF!</v>
      </c>
      <c r="D26" s="35" t="e">
        <f t="shared" si="2"/>
        <v>#REF!</v>
      </c>
    </row>
    <row r="27" spans="2:4" ht="12.75">
      <c r="B27" s="35" t="e">
        <f t="shared" si="0"/>
        <v>#REF!</v>
      </c>
      <c r="C27" s="35" t="e">
        <f t="shared" si="5"/>
        <v>#REF!</v>
      </c>
      <c r="D27" s="35" t="e">
        <f t="shared" si="2"/>
        <v>#REF!</v>
      </c>
    </row>
    <row r="28" spans="2:4" ht="12.75">
      <c r="B28" s="35" t="e">
        <f t="shared" si="0"/>
        <v>#REF!</v>
      </c>
      <c r="C28" s="35" t="e">
        <f t="shared" si="5"/>
        <v>#REF!</v>
      </c>
      <c r="D28" s="35" t="e">
        <f t="shared" si="2"/>
        <v>#REF!</v>
      </c>
    </row>
    <row r="29" spans="2:4" ht="12.75">
      <c r="B29" s="35" t="e">
        <f t="shared" si="0"/>
        <v>#REF!</v>
      </c>
      <c r="C29" s="35" t="e">
        <f t="shared" si="5"/>
        <v>#REF!</v>
      </c>
      <c r="D29" s="35" t="e">
        <f t="shared" si="2"/>
        <v>#REF!</v>
      </c>
    </row>
    <row r="30" spans="2:4" ht="12.75">
      <c r="B30" s="35" t="e">
        <f t="shared" si="0"/>
        <v>#REF!</v>
      </c>
      <c r="C30" s="35" t="e">
        <f t="shared" si="5"/>
        <v>#REF!</v>
      </c>
      <c r="D30" s="35" t="e">
        <f t="shared" si="2"/>
        <v>#REF!</v>
      </c>
    </row>
    <row r="31" spans="2:4" ht="12.75">
      <c r="B31" s="35" t="e">
        <f t="shared" si="0"/>
        <v>#REF!</v>
      </c>
      <c r="C31" s="35" t="e">
        <f t="shared" si="5"/>
        <v>#REF!</v>
      </c>
      <c r="D31" s="35" t="e">
        <f t="shared" si="2"/>
        <v>#REF!</v>
      </c>
    </row>
    <row r="32" spans="2:4" ht="12.75">
      <c r="B32" s="35" t="e">
        <f t="shared" si="0"/>
        <v>#REF!</v>
      </c>
      <c r="C32" s="35" t="e">
        <f t="shared" si="5"/>
        <v>#REF!</v>
      </c>
      <c r="D32" s="35" t="e">
        <f t="shared" si="2"/>
        <v>#REF!</v>
      </c>
    </row>
    <row r="33" spans="2:4" ht="12.75">
      <c r="B33" s="35" t="e">
        <f t="shared" si="0"/>
        <v>#REF!</v>
      </c>
      <c r="C33" s="35" t="e">
        <f t="shared" si="5"/>
        <v>#REF!</v>
      </c>
      <c r="D33" s="35" t="e">
        <f t="shared" si="2"/>
        <v>#REF!</v>
      </c>
    </row>
    <row r="34" spans="2:4" ht="12.75">
      <c r="B34" s="35" t="e">
        <f t="shared" si="0"/>
        <v>#REF!</v>
      </c>
      <c r="C34" s="35" t="e">
        <f t="shared" si="5"/>
        <v>#REF!</v>
      </c>
      <c r="D34" s="35" t="e">
        <f t="shared" si="2"/>
        <v>#REF!</v>
      </c>
    </row>
    <row r="35" spans="2:4" ht="12.75">
      <c r="B35" s="35" t="e">
        <f t="shared" si="0"/>
        <v>#REF!</v>
      </c>
      <c r="C35" s="35" t="e">
        <f t="shared" si="5"/>
        <v>#REF!</v>
      </c>
      <c r="D35" s="35" t="e">
        <f t="shared" si="2"/>
        <v>#REF!</v>
      </c>
    </row>
    <row r="36" spans="2:4" ht="12.75">
      <c r="B36" s="35" t="e">
        <f t="shared" si="0"/>
        <v>#REF!</v>
      </c>
      <c r="C36" s="35" t="e">
        <f t="shared" si="5"/>
        <v>#REF!</v>
      </c>
      <c r="D36" s="35" t="e">
        <f t="shared" si="2"/>
        <v>#REF!</v>
      </c>
    </row>
    <row r="37" spans="2:4" ht="12.75">
      <c r="B37" s="35" t="e">
        <f t="shared" si="0"/>
        <v>#REF!</v>
      </c>
      <c r="C37" s="35" t="e">
        <f t="shared" si="5"/>
        <v>#REF!</v>
      </c>
      <c r="D37" s="35" t="e">
        <f t="shared" si="2"/>
        <v>#REF!</v>
      </c>
    </row>
    <row r="38" spans="2:4" ht="12.75">
      <c r="B38" s="35" t="e">
        <f t="shared" si="0"/>
        <v>#REF!</v>
      </c>
      <c r="C38" s="35" t="e">
        <f t="shared" si="5"/>
        <v>#REF!</v>
      </c>
      <c r="D38" s="35" t="e">
        <f t="shared" si="2"/>
        <v>#REF!</v>
      </c>
    </row>
    <row r="39" spans="2:4" ht="12.75">
      <c r="B39" s="35" t="e">
        <f t="shared" si="0"/>
        <v>#REF!</v>
      </c>
      <c r="C39" s="35" t="e">
        <f t="shared" si="5"/>
        <v>#REF!</v>
      </c>
      <c r="D39" s="35" t="e">
        <f t="shared" si="2"/>
        <v>#REF!</v>
      </c>
    </row>
    <row r="40" spans="2:4" ht="12.75">
      <c r="B40" s="35" t="e">
        <f t="shared" si="0"/>
        <v>#REF!</v>
      </c>
      <c r="C40" s="35" t="e">
        <f t="shared" si="5"/>
        <v>#REF!</v>
      </c>
      <c r="D40" s="35" t="e">
        <f t="shared" si="2"/>
        <v>#REF!</v>
      </c>
    </row>
    <row r="41" spans="2:4" ht="12.75">
      <c r="B41" s="35" t="e">
        <f t="shared" si="0"/>
        <v>#REF!</v>
      </c>
      <c r="C41" s="35" t="e">
        <f t="shared" si="5"/>
        <v>#REF!</v>
      </c>
      <c r="D41" s="35" t="e">
        <f t="shared" si="2"/>
        <v>#REF!</v>
      </c>
    </row>
    <row r="42" spans="2:4" ht="12.75">
      <c r="B42" s="35" t="e">
        <f t="shared" si="0"/>
        <v>#REF!</v>
      </c>
      <c r="C42" s="35" t="e">
        <f t="shared" si="5"/>
        <v>#REF!</v>
      </c>
      <c r="D42" s="35" t="e">
        <f t="shared" si="2"/>
        <v>#REF!</v>
      </c>
    </row>
    <row r="43" spans="2:4" ht="12.75">
      <c r="B43" s="35" t="e">
        <f t="shared" si="0"/>
        <v>#REF!</v>
      </c>
      <c r="C43" s="35" t="e">
        <f t="shared" si="5"/>
        <v>#REF!</v>
      </c>
      <c r="D43" s="35" t="e">
        <f t="shared" si="2"/>
        <v>#REF!</v>
      </c>
    </row>
    <row r="44" spans="2:4" ht="12.75">
      <c r="B44" s="35" t="e">
        <f t="shared" si="0"/>
        <v>#REF!</v>
      </c>
      <c r="C44" s="35" t="e">
        <f t="shared" si="5"/>
        <v>#REF!</v>
      </c>
      <c r="D44" s="35" t="e">
        <f t="shared" si="2"/>
        <v>#REF!</v>
      </c>
    </row>
    <row r="45" spans="2:4" ht="12.75">
      <c r="B45" s="35" t="e">
        <f t="shared" si="0"/>
        <v>#REF!</v>
      </c>
      <c r="C45" s="35" t="e">
        <f t="shared" si="5"/>
        <v>#REF!</v>
      </c>
      <c r="D45" s="35" t="e">
        <f t="shared" si="2"/>
        <v>#REF!</v>
      </c>
    </row>
    <row r="46" spans="2:4" ht="12.75">
      <c r="B46" s="35" t="e">
        <f t="shared" si="0"/>
        <v>#REF!</v>
      </c>
      <c r="C46" s="35" t="e">
        <f t="shared" si="5"/>
        <v>#REF!</v>
      </c>
      <c r="D46" s="35" t="e">
        <f t="shared" si="2"/>
        <v>#REF!</v>
      </c>
    </row>
    <row r="47" spans="2:4" ht="12.75">
      <c r="B47" s="35" t="e">
        <f t="shared" si="0"/>
        <v>#REF!</v>
      </c>
      <c r="C47" s="35" t="e">
        <f t="shared" si="5"/>
        <v>#REF!</v>
      </c>
      <c r="D47" s="35" t="e">
        <f t="shared" si="2"/>
        <v>#REF!</v>
      </c>
    </row>
    <row r="48" spans="2:4" ht="12.75">
      <c r="B48" s="35" t="e">
        <f t="shared" si="0"/>
        <v>#REF!</v>
      </c>
      <c r="C48" s="35" t="e">
        <f t="shared" si="5"/>
        <v>#REF!</v>
      </c>
      <c r="D48" s="35" t="e">
        <f t="shared" si="2"/>
        <v>#REF!</v>
      </c>
    </row>
    <row r="49" spans="2:4" ht="12.75">
      <c r="B49" s="35" t="e">
        <f t="shared" si="0"/>
        <v>#REF!</v>
      </c>
      <c r="C49" s="35" t="e">
        <f t="shared" si="5"/>
        <v>#REF!</v>
      </c>
      <c r="D49" s="35" t="e">
        <f t="shared" si="2"/>
        <v>#REF!</v>
      </c>
    </row>
  </sheetData>
  <mergeCells count="1">
    <mergeCell ref="G2:I2"/>
  </mergeCells>
  <dataValidations count="1">
    <dataValidation type="list" allowBlank="1" sqref="A4:A6 A9:A49">
      <formula1>priortization!$A$1:$A$91</formula1>
    </dataValidation>
  </dataValidation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T48"/>
  <sheetViews>
    <sheetView workbookViewId="0" topLeftCell="A1">
      <pane ySplit="1" topLeftCell="A2" activePane="bottomLeft" state="frozen"/>
      <selection pane="bottomLeft" activeCell="B3" sqref="B3"/>
    </sheetView>
  </sheetViews>
  <sheetFormatPr defaultColWidth="14.421875" defaultRowHeight="12.75" customHeight="1"/>
  <cols>
    <col min="1" max="1" width="54.8515625" style="0" customWidth="1"/>
    <col min="2" max="2" width="6.8515625" style="0" customWidth="1"/>
    <col min="3" max="3" width="8.00390625" style="0" customWidth="1"/>
    <col min="4" max="4" width="7.7109375" style="0" customWidth="1"/>
    <col min="5" max="5" width="38.8515625" style="0" customWidth="1"/>
    <col min="6" max="6" width="9.00390625" style="0" customWidth="1"/>
    <col min="7" max="7" width="7.421875" style="0" customWidth="1"/>
    <col min="8" max="20" width="17.28125" style="0" customWidth="1"/>
  </cols>
  <sheetData>
    <row r="1" spans="1:20" ht="12.75">
      <c r="A1" s="3" t="s">
        <v>18</v>
      </c>
      <c r="B1" s="3" t="s">
        <v>19</v>
      </c>
      <c r="C1" s="3" t="s">
        <v>20</v>
      </c>
      <c r="D1" s="3" t="s">
        <v>21</v>
      </c>
      <c r="E1" s="3" t="s">
        <v>23</v>
      </c>
      <c r="F1" s="10"/>
      <c r="G1" s="10"/>
      <c r="H1" s="10"/>
      <c r="I1" s="10"/>
      <c r="J1" s="10"/>
      <c r="K1" s="10"/>
      <c r="L1" s="10"/>
      <c r="M1" s="10"/>
      <c r="N1" s="10"/>
      <c r="O1" s="10"/>
      <c r="P1" s="10"/>
      <c r="Q1" s="10"/>
      <c r="R1" s="10"/>
      <c r="S1" s="10"/>
      <c r="T1" s="10"/>
    </row>
    <row r="2" spans="1:7" ht="12.75">
      <c r="A2" s="86" t="s">
        <v>31</v>
      </c>
      <c r="B2" s="35" t="e">
        <f aca="true" t="shared" si="0" ref="B2:B48">IF(ISNA(VLOOKUP(A2,#REF!,10,FALSE)),IF(ISNA(VLOOKUP(A2,#REF!,10,FALSE)),"Fill in.",VLOOKUP(A2,#REF!,10,FALSE)),VLOOKUP(A2,#REF!,10,FALSE))</f>
        <v>#REF!</v>
      </c>
      <c r="C2" s="13" t="s">
        <v>96</v>
      </c>
      <c r="D2" s="35" t="e">
        <f aca="true" t="shared" si="1" ref="D2:D48">IF(OR(C2="Fill in.",C2=""),"Get Size",VLOOKUP(C2,#REF!,4,FALSE))</f>
        <v>#REF!</v>
      </c>
      <c r="E2" s="35" t="e">
        <f aca="true" t="shared" si="2" ref="E2:E17">A2&amp;" ("&amp;C2&amp;"="&amp;D2&amp;")"</f>
        <v>#REF!</v>
      </c>
      <c r="F2" s="91" t="e">
        <f>SUM.LEGACY(D2:D10)</f>
        <v>#REF!</v>
      </c>
      <c r="G2" s="13" t="s">
        <v>278</v>
      </c>
    </row>
    <row r="3" spans="1:5" ht="12.75">
      <c r="A3" s="13" t="s">
        <v>388</v>
      </c>
      <c r="B3" s="35" t="e">
        <f t="shared" si="0"/>
        <v>#REF!</v>
      </c>
      <c r="C3" s="35" t="e">
        <f>IF(ISNA(VLOOKUP(A3,#REF!,4,FALSE)),IF(ISNA(VLOOKUP(A3,#REF!,4,FALSE)),"Fill in.",VLOOKUP(A3,#REF!,4,FALSE)),VLOOKUP(A3,#REF!,4,FALSE))</f>
        <v>#REF!</v>
      </c>
      <c r="D3" s="35" t="e">
        <f t="shared" si="1"/>
        <v>#REF!</v>
      </c>
      <c r="E3" s="35" t="e">
        <f t="shared" si="2"/>
        <v>#REF!</v>
      </c>
    </row>
    <row r="4" spans="1:5" ht="12.75">
      <c r="A4" s="13" t="s">
        <v>409</v>
      </c>
      <c r="B4" s="35" t="e">
        <f t="shared" si="0"/>
        <v>#REF!</v>
      </c>
      <c r="C4" s="13" t="s">
        <v>96</v>
      </c>
      <c r="D4" s="35" t="e">
        <f t="shared" si="1"/>
        <v>#REF!</v>
      </c>
      <c r="E4" s="35" t="e">
        <f t="shared" si="2"/>
        <v>#REF!</v>
      </c>
    </row>
    <row r="5" spans="1:5" ht="12.75">
      <c r="A5" s="95" t="s">
        <v>423</v>
      </c>
      <c r="B5" s="35" t="e">
        <f t="shared" si="0"/>
        <v>#REF!</v>
      </c>
      <c r="C5" s="35" t="e">
        <f>IF(ISNA(VLOOKUP(A5,#REF!,4,FALSE)),IF(ISNA(VLOOKUP(A5,#REF!,4,FALSE)),"Fill in.",VLOOKUP(A5,#REF!,4,FALSE)),VLOOKUP(A5,#REF!,4,FALSE))</f>
        <v>#REF!</v>
      </c>
      <c r="D5" s="35" t="e">
        <f t="shared" si="1"/>
        <v>#REF!</v>
      </c>
      <c r="E5" s="35" t="e">
        <f t="shared" si="2"/>
        <v>#REF!</v>
      </c>
    </row>
    <row r="6" spans="1:5" ht="12.75">
      <c r="A6" s="118" t="s">
        <v>216</v>
      </c>
      <c r="B6" s="99" t="e">
        <f t="shared" si="0"/>
        <v>#REF!</v>
      </c>
      <c r="C6" s="13" t="s">
        <v>96</v>
      </c>
      <c r="D6" s="35" t="e">
        <f t="shared" si="1"/>
        <v>#REF!</v>
      </c>
      <c r="E6" s="35" t="e">
        <f t="shared" si="2"/>
        <v>#REF!</v>
      </c>
    </row>
    <row r="7" spans="1:5" ht="12.75">
      <c r="A7" s="118" t="s">
        <v>219</v>
      </c>
      <c r="B7" s="99" t="e">
        <f t="shared" si="0"/>
        <v>#REF!</v>
      </c>
      <c r="C7" s="35" t="e">
        <f>IF(ISNA(VLOOKUP(A7,#REF!,4,FALSE)),IF(ISNA(VLOOKUP(A7,#REF!,4,FALSE)),"Fill in.",VLOOKUP(A7,#REF!,4,FALSE)),VLOOKUP(A7,#REF!,4,FALSE))</f>
        <v>#REF!</v>
      </c>
      <c r="D7" s="35" t="e">
        <f t="shared" si="1"/>
        <v>#REF!</v>
      </c>
      <c r="E7" s="35" t="e">
        <f t="shared" si="2"/>
        <v>#REF!</v>
      </c>
    </row>
    <row r="8" spans="1:5" ht="12.75">
      <c r="A8" s="121" t="s">
        <v>434</v>
      </c>
      <c r="B8" s="35" t="e">
        <f t="shared" si="0"/>
        <v>#REF!</v>
      </c>
      <c r="C8" s="13" t="s">
        <v>96</v>
      </c>
      <c r="D8" s="35" t="e">
        <f t="shared" si="1"/>
        <v>#REF!</v>
      </c>
      <c r="E8" s="35" t="e">
        <f t="shared" si="2"/>
        <v>#REF!</v>
      </c>
    </row>
    <row r="9" spans="1:5" ht="12.75">
      <c r="A9" s="13" t="s">
        <v>435</v>
      </c>
      <c r="B9" s="35" t="e">
        <f t="shared" si="0"/>
        <v>#REF!</v>
      </c>
      <c r="C9" s="35" t="e">
        <f aca="true" t="shared" si="3" ref="C9:C48">IF(ISNA(VLOOKUP(A9,#REF!,4,FALSE)),IF(ISNA(VLOOKUP(A9,#REF!,4,FALSE)),"Fill in.",VLOOKUP(A9,#REF!,4,FALSE)),VLOOKUP(A9,#REF!,4,FALSE))</f>
        <v>#REF!</v>
      </c>
      <c r="D9" s="35" t="e">
        <f t="shared" si="1"/>
        <v>#REF!</v>
      </c>
      <c r="E9" s="35" t="e">
        <f t="shared" si="2"/>
        <v>#REF!</v>
      </c>
    </row>
    <row r="10" spans="1:5" ht="12.75">
      <c r="A10" s="13" t="s">
        <v>440</v>
      </c>
      <c r="B10" s="35" t="e">
        <f t="shared" si="0"/>
        <v>#REF!</v>
      </c>
      <c r="C10" s="35" t="e">
        <f t="shared" si="3"/>
        <v>#REF!</v>
      </c>
      <c r="D10" s="35" t="e">
        <f t="shared" si="1"/>
        <v>#REF!</v>
      </c>
      <c r="E10" s="35" t="e">
        <f t="shared" si="2"/>
        <v>#REF!</v>
      </c>
    </row>
    <row r="11" spans="2:5" ht="12.75">
      <c r="B11" s="35" t="e">
        <f t="shared" si="0"/>
        <v>#REF!</v>
      </c>
      <c r="C11" s="35" t="e">
        <f t="shared" si="3"/>
        <v>#REF!</v>
      </c>
      <c r="D11" s="35" t="e">
        <f t="shared" si="1"/>
        <v>#REF!</v>
      </c>
      <c r="E11" s="35" t="e">
        <f t="shared" si="2"/>
        <v>#REF!</v>
      </c>
    </row>
    <row r="12" spans="2:5" ht="12.75">
      <c r="B12" s="35" t="e">
        <f t="shared" si="0"/>
        <v>#REF!</v>
      </c>
      <c r="C12" s="35" t="e">
        <f t="shared" si="3"/>
        <v>#REF!</v>
      </c>
      <c r="D12" s="35" t="e">
        <f t="shared" si="1"/>
        <v>#REF!</v>
      </c>
      <c r="E12" s="35" t="e">
        <f t="shared" si="2"/>
        <v>#REF!</v>
      </c>
    </row>
    <row r="13" spans="2:5" ht="12.75">
      <c r="B13" s="35" t="e">
        <f t="shared" si="0"/>
        <v>#REF!</v>
      </c>
      <c r="C13" s="35" t="e">
        <f t="shared" si="3"/>
        <v>#REF!</v>
      </c>
      <c r="D13" s="35" t="e">
        <f t="shared" si="1"/>
        <v>#REF!</v>
      </c>
      <c r="E13" s="35" t="e">
        <f t="shared" si="2"/>
        <v>#REF!</v>
      </c>
    </row>
    <row r="14" spans="2:5" ht="12.75">
      <c r="B14" s="35" t="e">
        <f t="shared" si="0"/>
        <v>#REF!</v>
      </c>
      <c r="C14" s="35" t="e">
        <f t="shared" si="3"/>
        <v>#REF!</v>
      </c>
      <c r="D14" s="35" t="e">
        <f t="shared" si="1"/>
        <v>#REF!</v>
      </c>
      <c r="E14" s="35" t="e">
        <f t="shared" si="2"/>
        <v>#REF!</v>
      </c>
    </row>
    <row r="15" spans="2:5" ht="12.75">
      <c r="B15" s="35" t="e">
        <f t="shared" si="0"/>
        <v>#REF!</v>
      </c>
      <c r="C15" s="35" t="e">
        <f t="shared" si="3"/>
        <v>#REF!</v>
      </c>
      <c r="D15" s="35" t="e">
        <f t="shared" si="1"/>
        <v>#REF!</v>
      </c>
      <c r="E15" s="35" t="e">
        <f t="shared" si="2"/>
        <v>#REF!</v>
      </c>
    </row>
    <row r="16" spans="2:5" ht="12.75">
      <c r="B16" s="35" t="e">
        <f t="shared" si="0"/>
        <v>#REF!</v>
      </c>
      <c r="C16" s="35" t="e">
        <f t="shared" si="3"/>
        <v>#REF!</v>
      </c>
      <c r="D16" s="35" t="e">
        <f t="shared" si="1"/>
        <v>#REF!</v>
      </c>
      <c r="E16" s="35" t="e">
        <f t="shared" si="2"/>
        <v>#REF!</v>
      </c>
    </row>
    <row r="17" spans="2:5" ht="12.75">
      <c r="B17" s="35" t="e">
        <f t="shared" si="0"/>
        <v>#REF!</v>
      </c>
      <c r="C17" s="35" t="e">
        <f t="shared" si="3"/>
        <v>#REF!</v>
      </c>
      <c r="D17" s="35" t="e">
        <f t="shared" si="1"/>
        <v>#REF!</v>
      </c>
      <c r="E17" s="35" t="e">
        <f t="shared" si="2"/>
        <v>#REF!</v>
      </c>
    </row>
    <row r="18" spans="2:4" ht="12.75">
      <c r="B18" s="35" t="e">
        <f t="shared" si="0"/>
        <v>#REF!</v>
      </c>
      <c r="C18" s="35" t="e">
        <f t="shared" si="3"/>
        <v>#REF!</v>
      </c>
      <c r="D18" s="35" t="e">
        <f t="shared" si="1"/>
        <v>#REF!</v>
      </c>
    </row>
    <row r="19" spans="2:4" ht="12.75">
      <c r="B19" s="35" t="e">
        <f t="shared" si="0"/>
        <v>#REF!</v>
      </c>
      <c r="C19" s="35" t="e">
        <f t="shared" si="3"/>
        <v>#REF!</v>
      </c>
      <c r="D19" s="35" t="e">
        <f t="shared" si="1"/>
        <v>#REF!</v>
      </c>
    </row>
    <row r="20" spans="2:4" ht="12.75">
      <c r="B20" s="35" t="e">
        <f t="shared" si="0"/>
        <v>#REF!</v>
      </c>
      <c r="C20" s="35" t="e">
        <f t="shared" si="3"/>
        <v>#REF!</v>
      </c>
      <c r="D20" s="35" t="e">
        <f t="shared" si="1"/>
        <v>#REF!</v>
      </c>
    </row>
    <row r="21" spans="2:4" ht="12.75">
      <c r="B21" s="35" t="e">
        <f t="shared" si="0"/>
        <v>#REF!</v>
      </c>
      <c r="C21" s="35" t="e">
        <f t="shared" si="3"/>
        <v>#REF!</v>
      </c>
      <c r="D21" s="35" t="e">
        <f t="shared" si="1"/>
        <v>#REF!</v>
      </c>
    </row>
    <row r="22" spans="2:4" ht="12.75">
      <c r="B22" s="35" t="e">
        <f t="shared" si="0"/>
        <v>#REF!</v>
      </c>
      <c r="C22" s="35" t="e">
        <f t="shared" si="3"/>
        <v>#REF!</v>
      </c>
      <c r="D22" s="35" t="e">
        <f t="shared" si="1"/>
        <v>#REF!</v>
      </c>
    </row>
    <row r="23" spans="2:4" ht="12.75">
      <c r="B23" s="35" t="e">
        <f t="shared" si="0"/>
        <v>#REF!</v>
      </c>
      <c r="C23" s="35" t="e">
        <f t="shared" si="3"/>
        <v>#REF!</v>
      </c>
      <c r="D23" s="35" t="e">
        <f t="shared" si="1"/>
        <v>#REF!</v>
      </c>
    </row>
    <row r="24" spans="2:4" ht="12.75">
      <c r="B24" s="35" t="e">
        <f t="shared" si="0"/>
        <v>#REF!</v>
      </c>
      <c r="C24" s="35" t="e">
        <f t="shared" si="3"/>
        <v>#REF!</v>
      </c>
      <c r="D24" s="35" t="e">
        <f t="shared" si="1"/>
        <v>#REF!</v>
      </c>
    </row>
    <row r="25" spans="2:4" ht="12.75">
      <c r="B25" s="35" t="e">
        <f t="shared" si="0"/>
        <v>#REF!</v>
      </c>
      <c r="C25" s="35" t="e">
        <f t="shared" si="3"/>
        <v>#REF!</v>
      </c>
      <c r="D25" s="35" t="e">
        <f t="shared" si="1"/>
        <v>#REF!</v>
      </c>
    </row>
    <row r="26" spans="2:4" ht="12.75">
      <c r="B26" s="35" t="e">
        <f t="shared" si="0"/>
        <v>#REF!</v>
      </c>
      <c r="C26" s="35" t="e">
        <f t="shared" si="3"/>
        <v>#REF!</v>
      </c>
      <c r="D26" s="35" t="e">
        <f t="shared" si="1"/>
        <v>#REF!</v>
      </c>
    </row>
    <row r="27" spans="2:4" ht="12.75">
      <c r="B27" s="35" t="e">
        <f t="shared" si="0"/>
        <v>#REF!</v>
      </c>
      <c r="C27" s="35" t="e">
        <f t="shared" si="3"/>
        <v>#REF!</v>
      </c>
      <c r="D27" s="35" t="e">
        <f t="shared" si="1"/>
        <v>#REF!</v>
      </c>
    </row>
    <row r="28" spans="2:4" ht="12.75">
      <c r="B28" s="35" t="e">
        <f t="shared" si="0"/>
        <v>#REF!</v>
      </c>
      <c r="C28" s="35" t="e">
        <f t="shared" si="3"/>
        <v>#REF!</v>
      </c>
      <c r="D28" s="35" t="e">
        <f t="shared" si="1"/>
        <v>#REF!</v>
      </c>
    </row>
    <row r="29" spans="2:4" ht="12.75">
      <c r="B29" s="35" t="e">
        <f t="shared" si="0"/>
        <v>#REF!</v>
      </c>
      <c r="C29" s="35" t="e">
        <f t="shared" si="3"/>
        <v>#REF!</v>
      </c>
      <c r="D29" s="35" t="e">
        <f t="shared" si="1"/>
        <v>#REF!</v>
      </c>
    </row>
    <row r="30" spans="2:4" ht="12.75">
      <c r="B30" s="35" t="e">
        <f t="shared" si="0"/>
        <v>#REF!</v>
      </c>
      <c r="C30" s="35" t="e">
        <f t="shared" si="3"/>
        <v>#REF!</v>
      </c>
      <c r="D30" s="35" t="e">
        <f t="shared" si="1"/>
        <v>#REF!</v>
      </c>
    </row>
    <row r="31" spans="2:4" ht="12.75">
      <c r="B31" s="35" t="e">
        <f t="shared" si="0"/>
        <v>#REF!</v>
      </c>
      <c r="C31" s="35" t="e">
        <f t="shared" si="3"/>
        <v>#REF!</v>
      </c>
      <c r="D31" s="35" t="e">
        <f t="shared" si="1"/>
        <v>#REF!</v>
      </c>
    </row>
    <row r="32" spans="2:4" ht="12.75">
      <c r="B32" s="35" t="e">
        <f t="shared" si="0"/>
        <v>#REF!</v>
      </c>
      <c r="C32" s="35" t="e">
        <f t="shared" si="3"/>
        <v>#REF!</v>
      </c>
      <c r="D32" s="35" t="e">
        <f t="shared" si="1"/>
        <v>#REF!</v>
      </c>
    </row>
    <row r="33" spans="2:4" ht="12.75">
      <c r="B33" s="35" t="e">
        <f t="shared" si="0"/>
        <v>#REF!</v>
      </c>
      <c r="C33" s="35" t="e">
        <f t="shared" si="3"/>
        <v>#REF!</v>
      </c>
      <c r="D33" s="35" t="e">
        <f t="shared" si="1"/>
        <v>#REF!</v>
      </c>
    </row>
    <row r="34" spans="2:4" ht="12.75">
      <c r="B34" s="35" t="e">
        <f t="shared" si="0"/>
        <v>#REF!</v>
      </c>
      <c r="C34" s="35" t="e">
        <f t="shared" si="3"/>
        <v>#REF!</v>
      </c>
      <c r="D34" s="35" t="e">
        <f t="shared" si="1"/>
        <v>#REF!</v>
      </c>
    </row>
    <row r="35" spans="2:4" ht="12.75">
      <c r="B35" s="35" t="e">
        <f t="shared" si="0"/>
        <v>#REF!</v>
      </c>
      <c r="C35" s="35" t="e">
        <f t="shared" si="3"/>
        <v>#REF!</v>
      </c>
      <c r="D35" s="35" t="e">
        <f t="shared" si="1"/>
        <v>#REF!</v>
      </c>
    </row>
    <row r="36" spans="2:4" ht="12.75">
      <c r="B36" s="35" t="e">
        <f t="shared" si="0"/>
        <v>#REF!</v>
      </c>
      <c r="C36" s="35" t="e">
        <f t="shared" si="3"/>
        <v>#REF!</v>
      </c>
      <c r="D36" s="35" t="e">
        <f t="shared" si="1"/>
        <v>#REF!</v>
      </c>
    </row>
    <row r="37" spans="2:4" ht="12.75">
      <c r="B37" s="35" t="e">
        <f t="shared" si="0"/>
        <v>#REF!</v>
      </c>
      <c r="C37" s="35" t="e">
        <f t="shared" si="3"/>
        <v>#REF!</v>
      </c>
      <c r="D37" s="35" t="e">
        <f t="shared" si="1"/>
        <v>#REF!</v>
      </c>
    </row>
    <row r="38" spans="2:4" ht="12.75">
      <c r="B38" s="35" t="e">
        <f t="shared" si="0"/>
        <v>#REF!</v>
      </c>
      <c r="C38" s="35" t="e">
        <f t="shared" si="3"/>
        <v>#REF!</v>
      </c>
      <c r="D38" s="35" t="e">
        <f t="shared" si="1"/>
        <v>#REF!</v>
      </c>
    </row>
    <row r="39" spans="2:4" ht="12.75">
      <c r="B39" s="35" t="e">
        <f t="shared" si="0"/>
        <v>#REF!</v>
      </c>
      <c r="C39" s="35" t="e">
        <f t="shared" si="3"/>
        <v>#REF!</v>
      </c>
      <c r="D39" s="35" t="e">
        <f t="shared" si="1"/>
        <v>#REF!</v>
      </c>
    </row>
    <row r="40" spans="2:4" ht="12.75">
      <c r="B40" s="35" t="e">
        <f t="shared" si="0"/>
        <v>#REF!</v>
      </c>
      <c r="C40" s="35" t="e">
        <f t="shared" si="3"/>
        <v>#REF!</v>
      </c>
      <c r="D40" s="35" t="e">
        <f t="shared" si="1"/>
        <v>#REF!</v>
      </c>
    </row>
    <row r="41" spans="2:4" ht="12.75">
      <c r="B41" s="35" t="e">
        <f t="shared" si="0"/>
        <v>#REF!</v>
      </c>
      <c r="C41" s="35" t="e">
        <f t="shared" si="3"/>
        <v>#REF!</v>
      </c>
      <c r="D41" s="35" t="e">
        <f t="shared" si="1"/>
        <v>#REF!</v>
      </c>
    </row>
    <row r="42" spans="2:4" ht="12.75">
      <c r="B42" s="35" t="e">
        <f t="shared" si="0"/>
        <v>#REF!</v>
      </c>
      <c r="C42" s="35" t="e">
        <f t="shared" si="3"/>
        <v>#REF!</v>
      </c>
      <c r="D42" s="35" t="e">
        <f t="shared" si="1"/>
        <v>#REF!</v>
      </c>
    </row>
    <row r="43" spans="2:4" ht="12.75">
      <c r="B43" s="35" t="e">
        <f t="shared" si="0"/>
        <v>#REF!</v>
      </c>
      <c r="C43" s="35" t="e">
        <f t="shared" si="3"/>
        <v>#REF!</v>
      </c>
      <c r="D43" s="35" t="e">
        <f t="shared" si="1"/>
        <v>#REF!</v>
      </c>
    </row>
    <row r="44" spans="2:4" ht="12.75">
      <c r="B44" s="35" t="e">
        <f t="shared" si="0"/>
        <v>#REF!</v>
      </c>
      <c r="C44" s="35" t="e">
        <f t="shared" si="3"/>
        <v>#REF!</v>
      </c>
      <c r="D44" s="35" t="e">
        <f t="shared" si="1"/>
        <v>#REF!</v>
      </c>
    </row>
    <row r="45" spans="2:4" ht="12.75">
      <c r="B45" s="35" t="e">
        <f t="shared" si="0"/>
        <v>#REF!</v>
      </c>
      <c r="C45" s="35" t="e">
        <f t="shared" si="3"/>
        <v>#REF!</v>
      </c>
      <c r="D45" s="35" t="e">
        <f t="shared" si="1"/>
        <v>#REF!</v>
      </c>
    </row>
    <row r="46" spans="2:4" ht="12.75">
      <c r="B46" s="35" t="e">
        <f t="shared" si="0"/>
        <v>#REF!</v>
      </c>
      <c r="C46" s="35" t="e">
        <f t="shared" si="3"/>
        <v>#REF!</v>
      </c>
      <c r="D46" s="35" t="e">
        <f t="shared" si="1"/>
        <v>#REF!</v>
      </c>
    </row>
    <row r="47" spans="2:4" ht="12.75">
      <c r="B47" s="35" t="e">
        <f t="shared" si="0"/>
        <v>#REF!</v>
      </c>
      <c r="C47" s="35" t="e">
        <f t="shared" si="3"/>
        <v>#REF!</v>
      </c>
      <c r="D47" s="35" t="e">
        <f t="shared" si="1"/>
        <v>#REF!</v>
      </c>
    </row>
    <row r="48" spans="2:4" ht="12.75">
      <c r="B48" s="35" t="e">
        <f t="shared" si="0"/>
        <v>#REF!</v>
      </c>
      <c r="C48" s="35" t="e">
        <f t="shared" si="3"/>
        <v>#REF!</v>
      </c>
      <c r="D48" s="35" t="e">
        <f t="shared" si="1"/>
        <v>#REF!</v>
      </c>
    </row>
  </sheetData>
  <mergeCells count="1">
    <mergeCell ref="G2:I2"/>
  </mergeCells>
  <dataValidations count="1">
    <dataValidation type="list" allowBlank="1" sqref="A3:A5 A8:A48">
      <formula1>priortization!$A$1:$A$91</formula1>
    </dataValidation>
  </dataValidation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G29"/>
  <sheetViews>
    <sheetView workbookViewId="0" topLeftCell="A1">
      <pane ySplit="2" topLeftCell="A3" activePane="bottomLeft" state="frozen"/>
      <selection pane="bottomLeft" activeCell="B4" sqref="B4"/>
    </sheetView>
  </sheetViews>
  <sheetFormatPr defaultColWidth="14.421875" defaultRowHeight="12.75" customHeight="1"/>
  <cols>
    <col min="1" max="1" width="17.28125" style="0" customWidth="1"/>
    <col min="2" max="2" width="11.421875" style="0" customWidth="1"/>
    <col min="3" max="3" width="13.28125" style="0" customWidth="1"/>
    <col min="4" max="4" width="7.57421875" style="0" customWidth="1"/>
    <col min="5" max="5" width="10.00390625" style="0" customWidth="1"/>
    <col min="6" max="6" width="8.140625" style="0" customWidth="1"/>
    <col min="7" max="7" width="10.00390625" style="0" customWidth="1"/>
  </cols>
  <sheetData>
    <row r="1" ht="12.75">
      <c r="B1" s="87" t="s">
        <v>29</v>
      </c>
    </row>
    <row r="2" spans="1:7" ht="12.75">
      <c r="A2" s="3" t="s">
        <v>18</v>
      </c>
      <c r="B2" s="3" t="s">
        <v>262</v>
      </c>
      <c r="C2" s="3" t="s">
        <v>263</v>
      </c>
      <c r="D2" s="3" t="s">
        <v>264</v>
      </c>
      <c r="E2" s="3" t="s">
        <v>265</v>
      </c>
      <c r="F2" s="3" t="s">
        <v>266</v>
      </c>
      <c r="G2" s="3" t="s">
        <v>267</v>
      </c>
    </row>
    <row r="3" spans="1:7" ht="12.75">
      <c r="A3" s="13" t="s">
        <v>246</v>
      </c>
      <c r="B3" s="88">
        <v>7980</v>
      </c>
      <c r="C3" s="88">
        <v>9566</v>
      </c>
      <c r="D3" s="88">
        <v>5040</v>
      </c>
      <c r="E3" s="88">
        <v>12786</v>
      </c>
      <c r="F3" s="88">
        <v>7910</v>
      </c>
      <c r="G3" s="88">
        <v>2636</v>
      </c>
    </row>
    <row r="4" spans="1:7" ht="12.75">
      <c r="A4" s="13" t="s">
        <v>271</v>
      </c>
      <c r="B4" s="88">
        <v>17920</v>
      </c>
      <c r="C4" s="88">
        <v>5250</v>
      </c>
      <c r="D4" s="88">
        <v>21168</v>
      </c>
      <c r="E4" s="88">
        <v>700</v>
      </c>
      <c r="F4" s="88">
        <v>20944</v>
      </c>
      <c r="G4" s="88">
        <v>10290</v>
      </c>
    </row>
    <row r="5" spans="1:7" ht="12.75" hidden="1">
      <c r="A5" s="84" t="s">
        <v>272</v>
      </c>
      <c r="B5" s="89">
        <v>11250</v>
      </c>
      <c r="C5" s="120" t="str">
        <f>13350</f>
        <v>$13,350</v>
      </c>
      <c r="D5" s="120"/>
      <c r="E5" s="120"/>
      <c r="F5" s="120"/>
      <c r="G5" s="120"/>
    </row>
    <row r="6" spans="1:7" ht="12.75">
      <c r="A6" s="13" t="s">
        <v>64</v>
      </c>
      <c r="B6" s="88">
        <v>12544</v>
      </c>
      <c r="C6" s="122"/>
      <c r="D6" s="88">
        <v>12544</v>
      </c>
      <c r="E6" s="122"/>
      <c r="F6" s="88">
        <v>6272</v>
      </c>
      <c r="G6" s="122"/>
    </row>
    <row r="7" spans="1:7" ht="12.75">
      <c r="A7" s="13" t="s">
        <v>168</v>
      </c>
      <c r="B7" s="88">
        <v>12544</v>
      </c>
      <c r="C7" s="122"/>
      <c r="D7" s="88">
        <v>12544</v>
      </c>
      <c r="E7" s="122"/>
      <c r="F7" s="88">
        <v>6272</v>
      </c>
      <c r="G7" s="122"/>
    </row>
    <row r="8" spans="1:7" ht="12.75">
      <c r="A8" s="13" t="s">
        <v>150</v>
      </c>
      <c r="B8" s="88">
        <v>12544</v>
      </c>
      <c r="C8" s="122"/>
      <c r="D8" s="88">
        <v>12544</v>
      </c>
      <c r="E8" s="122"/>
      <c r="F8" s="88">
        <v>6272</v>
      </c>
      <c r="G8" s="122"/>
    </row>
    <row r="9" spans="1:7" ht="12.75">
      <c r="A9" s="13" t="s">
        <v>384</v>
      </c>
      <c r="B9" s="88">
        <v>29988</v>
      </c>
      <c r="C9" s="88">
        <v>12600</v>
      </c>
      <c r="D9" s="88">
        <v>29988</v>
      </c>
      <c r="E9" s="88">
        <v>20000</v>
      </c>
      <c r="F9" s="88">
        <v>14994</v>
      </c>
      <c r="G9" s="88">
        <v>2050</v>
      </c>
    </row>
    <row r="10" spans="2:7" ht="12.75">
      <c r="B10" s="122"/>
      <c r="C10" s="122"/>
      <c r="D10" s="122"/>
      <c r="E10" s="122"/>
      <c r="F10" s="122"/>
      <c r="G10" s="122"/>
    </row>
    <row r="11" spans="2:7" ht="12.75">
      <c r="B11" s="122"/>
      <c r="C11" s="122"/>
      <c r="D11" s="122"/>
      <c r="E11" s="122"/>
      <c r="F11" s="122"/>
      <c r="G11" s="122"/>
    </row>
    <row r="12" spans="2:7" ht="12.75">
      <c r="B12" s="122"/>
      <c r="C12" s="122"/>
      <c r="D12" s="122"/>
      <c r="E12" s="122"/>
      <c r="F12" s="122"/>
      <c r="G12" s="122"/>
    </row>
    <row r="13" spans="2:7" ht="12.75">
      <c r="B13" s="122"/>
      <c r="C13" s="122"/>
      <c r="D13" s="122"/>
      <c r="E13" s="122"/>
      <c r="F13" s="122"/>
      <c r="G13" s="122"/>
    </row>
    <row r="14" spans="2:7" ht="12.75">
      <c r="B14" s="122"/>
      <c r="C14" s="122"/>
      <c r="D14" s="122"/>
      <c r="E14" s="122"/>
      <c r="F14" s="122"/>
      <c r="G14" s="122"/>
    </row>
    <row r="15" spans="2:7" ht="12.75">
      <c r="B15" s="122"/>
      <c r="C15" s="122"/>
      <c r="D15" s="122"/>
      <c r="E15" s="122"/>
      <c r="F15" s="122"/>
      <c r="G15" s="122"/>
    </row>
    <row r="16" spans="2:7" ht="12.75">
      <c r="B16" s="122"/>
      <c r="C16" s="122"/>
      <c r="D16" s="122"/>
      <c r="E16" s="122"/>
      <c r="F16" s="122"/>
      <c r="G16" s="122"/>
    </row>
    <row r="17" spans="2:7" ht="12.75">
      <c r="B17" s="122"/>
      <c r="C17" s="122"/>
      <c r="D17" s="122"/>
      <c r="E17" s="122"/>
      <c r="F17" s="122"/>
      <c r="G17" s="122"/>
    </row>
    <row r="18" spans="2:7" ht="12.75">
      <c r="B18" s="122"/>
      <c r="C18" s="122"/>
      <c r="D18" s="122"/>
      <c r="E18" s="122"/>
      <c r="F18" s="122"/>
      <c r="G18" s="122"/>
    </row>
    <row r="19" spans="2:7" ht="12.75">
      <c r="B19" s="122"/>
      <c r="C19" s="122"/>
      <c r="D19" s="122"/>
      <c r="E19" s="122"/>
      <c r="F19" s="122"/>
      <c r="G19" s="122"/>
    </row>
    <row r="20" spans="2:7" ht="12.75">
      <c r="B20" s="122"/>
      <c r="C20" s="122"/>
      <c r="D20" s="122"/>
      <c r="E20" s="122"/>
      <c r="F20" s="122"/>
      <c r="G20" s="122"/>
    </row>
    <row r="21" spans="2:7" ht="12.75">
      <c r="B21" s="122"/>
      <c r="C21" s="122"/>
      <c r="D21" s="122"/>
      <c r="E21" s="122"/>
      <c r="F21" s="122"/>
      <c r="G21" s="122"/>
    </row>
    <row r="22" spans="2:7" ht="12.75">
      <c r="B22" s="122"/>
      <c r="C22" s="122"/>
      <c r="D22" s="122"/>
      <c r="E22" s="122"/>
      <c r="F22" s="122"/>
      <c r="G22" s="122"/>
    </row>
    <row r="23" spans="2:7" ht="12.75">
      <c r="B23" s="122"/>
      <c r="C23" s="122"/>
      <c r="D23" s="122"/>
      <c r="E23" s="122"/>
      <c r="F23" s="122"/>
      <c r="G23" s="122"/>
    </row>
    <row r="24" spans="2:7" ht="12.75">
      <c r="B24" s="122"/>
      <c r="C24" s="122"/>
      <c r="D24" s="122"/>
      <c r="E24" s="122"/>
      <c r="F24" s="122"/>
      <c r="G24" s="122"/>
    </row>
    <row r="25" spans="2:7" ht="12.75">
      <c r="B25" s="122"/>
      <c r="C25" s="122"/>
      <c r="D25" s="122"/>
      <c r="E25" s="122"/>
      <c r="F25" s="122"/>
      <c r="G25" s="122"/>
    </row>
    <row r="26" spans="2:7" ht="12.75">
      <c r="B26" s="122"/>
      <c r="C26" s="122"/>
      <c r="D26" s="122"/>
      <c r="E26" s="122"/>
      <c r="F26" s="122"/>
      <c r="G26" s="122"/>
    </row>
    <row r="27" spans="2:7" ht="12.75">
      <c r="B27" s="122"/>
      <c r="C27" s="122"/>
      <c r="D27" s="122"/>
      <c r="E27" s="122"/>
      <c r="F27" s="122"/>
      <c r="G27" s="122"/>
    </row>
    <row r="28" spans="2:7" ht="12.75">
      <c r="B28" s="122"/>
      <c r="C28" s="122"/>
      <c r="D28" s="122"/>
      <c r="E28" s="122"/>
      <c r="F28" s="122"/>
      <c r="G28" s="122"/>
    </row>
    <row r="29" spans="2:7" ht="12.75">
      <c r="B29" s="122"/>
      <c r="C29" s="122"/>
      <c r="D29" s="122"/>
      <c r="E29" s="122"/>
      <c r="F29" s="122"/>
      <c r="G29" s="122"/>
    </row>
  </sheetData>
  <mergeCells count="1">
    <mergeCell ref="B1:G1"/>
  </mergeCells>
  <dataValidations count="1">
    <dataValidation type="list" allowBlank="1" sqref="A3:A22">
      <formula1>apm!$K$13:$K$46</formula1>
    </dataValidation>
  </dataValidation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E100"/>
  <sheetViews>
    <sheetView workbookViewId="0" topLeftCell="A1">
      <pane ySplit="1" topLeftCell="A2" activePane="bottomLeft" state="frozen"/>
      <selection pane="bottomLeft" activeCell="B3" sqref="B3"/>
    </sheetView>
  </sheetViews>
  <sheetFormatPr defaultColWidth="14.421875" defaultRowHeight="12.75" customHeight="1"/>
  <cols>
    <col min="1" max="1" width="7.8515625" style="0" customWidth="1"/>
    <col min="2" max="2" width="12.57421875" style="0" customWidth="1"/>
    <col min="3" max="3" width="17.28125" style="0" customWidth="1"/>
    <col min="4" max="4" width="25.00390625" style="0" customWidth="1"/>
    <col min="5" max="20" width="17.28125" style="0" customWidth="1"/>
  </cols>
  <sheetData>
    <row r="1" spans="1:5" ht="12.75">
      <c r="A1" s="11" t="s">
        <v>28</v>
      </c>
      <c r="B1" s="13" t="s">
        <v>37</v>
      </c>
      <c r="C1" s="13" t="s">
        <v>247</v>
      </c>
      <c r="D1" s="13" t="s">
        <v>248</v>
      </c>
      <c r="E1" s="13" t="s">
        <v>249</v>
      </c>
    </row>
    <row r="2" spans="1:3" ht="12.75">
      <c r="A2" s="11" t="s">
        <v>251</v>
      </c>
      <c r="B2" s="124">
        <v>41290</v>
      </c>
      <c r="C2" s="124">
        <v>41291</v>
      </c>
    </row>
    <row r="3" spans="1:2" ht="12.75">
      <c r="A3" s="11" t="s">
        <v>400</v>
      </c>
      <c r="B3" s="124">
        <v>41305</v>
      </c>
    </row>
    <row r="4" spans="1:2" ht="12.75">
      <c r="A4" s="11" t="s">
        <v>401</v>
      </c>
      <c r="B4" s="124">
        <v>41319</v>
      </c>
    </row>
    <row r="5" spans="1:2" ht="12.75">
      <c r="A5" s="11" t="s">
        <v>402</v>
      </c>
      <c r="B5" s="124">
        <v>41340</v>
      </c>
    </row>
    <row r="6" spans="1:2" ht="12.75">
      <c r="A6" s="11" t="s">
        <v>403</v>
      </c>
      <c r="B6" s="124">
        <v>41366</v>
      </c>
    </row>
    <row r="7" spans="1:2" ht="12.75">
      <c r="A7" s="11" t="s">
        <v>405</v>
      </c>
      <c r="B7" s="124">
        <v>41386</v>
      </c>
    </row>
    <row r="8" spans="1:2" ht="12.75">
      <c r="A8" s="11" t="s">
        <v>407</v>
      </c>
      <c r="B8" s="124">
        <v>41395</v>
      </c>
    </row>
    <row r="9" spans="1:2" ht="12.75">
      <c r="A9" s="11" t="s">
        <v>408</v>
      </c>
      <c r="B9" s="124">
        <v>41415</v>
      </c>
    </row>
    <row r="10" spans="1:2" ht="12.75">
      <c r="A10" s="11" t="s">
        <v>410</v>
      </c>
      <c r="B10" s="124">
        <v>41424</v>
      </c>
    </row>
    <row r="11" spans="1:2" ht="12.75">
      <c r="A11" s="11" t="s">
        <v>411</v>
      </c>
      <c r="B11" s="124">
        <v>41443</v>
      </c>
    </row>
    <row r="12" spans="1:2" ht="12.75">
      <c r="A12" s="11" t="s">
        <v>413</v>
      </c>
      <c r="B12" s="124">
        <v>41465</v>
      </c>
    </row>
    <row r="13" spans="1:2" ht="12.75">
      <c r="A13" s="11" t="s">
        <v>414</v>
      </c>
      <c r="B13" s="124">
        <v>41480</v>
      </c>
    </row>
    <row r="14" spans="1:2" ht="12.75">
      <c r="A14" s="11" t="s">
        <v>415</v>
      </c>
      <c r="B14" s="124">
        <v>41507</v>
      </c>
    </row>
    <row r="15" spans="1:2" ht="12.75">
      <c r="A15" s="11" t="s">
        <v>416</v>
      </c>
      <c r="B15" s="124">
        <v>41515</v>
      </c>
    </row>
    <row r="16" spans="1:2" ht="12.75">
      <c r="A16" s="11" t="s">
        <v>417</v>
      </c>
      <c r="B16" s="124">
        <v>41536</v>
      </c>
    </row>
    <row r="17" spans="1:2" ht="12.75">
      <c r="A17" s="11" t="s">
        <v>418</v>
      </c>
      <c r="B17" s="124">
        <v>41568</v>
      </c>
    </row>
    <row r="18" spans="1:2" ht="12.75">
      <c r="A18" s="11" t="s">
        <v>419</v>
      </c>
      <c r="B18" s="124">
        <v>41591</v>
      </c>
    </row>
    <row r="19" ht="12.75">
      <c r="A19" s="127"/>
    </row>
    <row r="20" ht="12.75">
      <c r="A20" s="127"/>
    </row>
    <row r="21" ht="12.75">
      <c r="A21" s="127"/>
    </row>
    <row r="22" ht="12.75">
      <c r="A22" s="127"/>
    </row>
    <row r="23" ht="12.75">
      <c r="A23" s="127"/>
    </row>
    <row r="24" ht="12.75">
      <c r="A24" s="127"/>
    </row>
    <row r="25" ht="12.75">
      <c r="A25" s="127"/>
    </row>
    <row r="26" ht="12.75">
      <c r="A26" s="127"/>
    </row>
    <row r="27" ht="12.75">
      <c r="A27" s="127"/>
    </row>
    <row r="28" ht="12.75">
      <c r="A28" s="127"/>
    </row>
    <row r="29" ht="12.75">
      <c r="A29" s="127"/>
    </row>
    <row r="30" ht="12.75">
      <c r="A30" s="127"/>
    </row>
    <row r="31" ht="12.75">
      <c r="A31" s="127"/>
    </row>
    <row r="32" ht="12.75">
      <c r="A32" s="127"/>
    </row>
    <row r="33" ht="12.75">
      <c r="A33" s="127"/>
    </row>
    <row r="34" ht="12.75">
      <c r="A34" s="127"/>
    </row>
    <row r="35" ht="12.75">
      <c r="A35" s="127"/>
    </row>
    <row r="36" ht="12.75">
      <c r="A36" s="127"/>
    </row>
    <row r="37" ht="12.75">
      <c r="A37" s="127"/>
    </row>
    <row r="38" ht="12.75">
      <c r="A38" s="127"/>
    </row>
    <row r="39" ht="12.75">
      <c r="A39" s="127"/>
    </row>
    <row r="40" ht="12.75">
      <c r="A40" s="127"/>
    </row>
    <row r="41" ht="12.75">
      <c r="A41" s="127"/>
    </row>
    <row r="42" ht="12.75">
      <c r="A42" s="127"/>
    </row>
    <row r="43" ht="12.75">
      <c r="A43" s="127"/>
    </row>
    <row r="44" ht="12.75">
      <c r="A44" s="127"/>
    </row>
    <row r="45" ht="12.75">
      <c r="A45" s="127"/>
    </row>
    <row r="46" ht="12.75">
      <c r="A46" s="127"/>
    </row>
    <row r="47" ht="12.75">
      <c r="A47" s="127"/>
    </row>
    <row r="48" ht="12.75">
      <c r="A48" s="127"/>
    </row>
    <row r="49" ht="12.75">
      <c r="A49" s="127"/>
    </row>
    <row r="50" ht="12.75">
      <c r="A50" s="127"/>
    </row>
    <row r="51" ht="12.75">
      <c r="A51" s="127"/>
    </row>
    <row r="52" ht="12.75">
      <c r="A52" s="127"/>
    </row>
    <row r="53" ht="12.75">
      <c r="A53" s="127"/>
    </row>
    <row r="54" ht="12.75">
      <c r="A54" s="127"/>
    </row>
    <row r="55" ht="12.75">
      <c r="A55" s="127"/>
    </row>
    <row r="56" ht="12.75">
      <c r="A56" s="127"/>
    </row>
    <row r="57" ht="12.75">
      <c r="A57" s="127"/>
    </row>
    <row r="58" ht="12.75">
      <c r="A58" s="127"/>
    </row>
    <row r="59" ht="12.75">
      <c r="A59" s="127"/>
    </row>
    <row r="60" ht="12.75">
      <c r="A60" s="127"/>
    </row>
    <row r="61" ht="12.75">
      <c r="A61" s="127"/>
    </row>
    <row r="62" ht="12.75">
      <c r="A62" s="127"/>
    </row>
    <row r="63" ht="12.75">
      <c r="A63" s="127"/>
    </row>
    <row r="64" ht="12.75">
      <c r="A64" s="127"/>
    </row>
    <row r="65" ht="12.75">
      <c r="A65" s="127"/>
    </row>
    <row r="66" ht="12.75">
      <c r="A66" s="127"/>
    </row>
    <row r="67" ht="12.75">
      <c r="A67" s="127"/>
    </row>
    <row r="68" ht="12.75">
      <c r="A68" s="127"/>
    </row>
    <row r="69" ht="12.75">
      <c r="A69" s="127"/>
    </row>
    <row r="70" ht="12.75">
      <c r="A70" s="127"/>
    </row>
    <row r="71" ht="12.75">
      <c r="A71" s="127"/>
    </row>
    <row r="72" ht="12.75">
      <c r="A72" s="127"/>
    </row>
    <row r="73" ht="12.75">
      <c r="A73" s="127"/>
    </row>
    <row r="74" ht="12.75">
      <c r="A74" s="127"/>
    </row>
    <row r="75" ht="12.75">
      <c r="A75" s="127"/>
    </row>
    <row r="76" ht="12.75">
      <c r="A76" s="127"/>
    </row>
    <row r="77" ht="12.75">
      <c r="A77" s="127"/>
    </row>
    <row r="78" ht="12.75">
      <c r="A78" s="127"/>
    </row>
    <row r="79" ht="12.75">
      <c r="A79" s="127"/>
    </row>
    <row r="80" ht="12.75">
      <c r="A80" s="127"/>
    </row>
    <row r="81" ht="12.75">
      <c r="A81" s="127"/>
    </row>
    <row r="82" ht="12.75">
      <c r="A82" s="127"/>
    </row>
    <row r="83" ht="12.75">
      <c r="A83" s="127"/>
    </row>
    <row r="84" ht="12.75">
      <c r="A84" s="127"/>
    </row>
    <row r="85" ht="12.75">
      <c r="A85" s="127"/>
    </row>
    <row r="86" ht="12.75">
      <c r="A86" s="127"/>
    </row>
    <row r="87" ht="12.75">
      <c r="A87" s="127"/>
    </row>
    <row r="88" ht="12.75">
      <c r="A88" s="127"/>
    </row>
    <row r="89" ht="12.75">
      <c r="A89" s="127"/>
    </row>
    <row r="90" ht="12.75">
      <c r="A90" s="127"/>
    </row>
    <row r="91" ht="12.75">
      <c r="A91" s="127"/>
    </row>
    <row r="92" ht="12.75">
      <c r="A92" s="127"/>
    </row>
    <row r="93" ht="12.75">
      <c r="A93" s="127"/>
    </row>
    <row r="94" ht="12.75">
      <c r="A94" s="127"/>
    </row>
    <row r="95" ht="12.75">
      <c r="A95" s="127"/>
    </row>
    <row r="96" ht="12.75">
      <c r="A96" s="127"/>
    </row>
    <row r="97" ht="12.75">
      <c r="A97" s="127"/>
    </row>
    <row r="98" ht="12.75">
      <c r="A98" s="127"/>
    </row>
    <row r="99" ht="12.75">
      <c r="A99" s="127"/>
    </row>
    <row r="100" ht="12.75">
      <c r="A100" s="127"/>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W191"/>
  <sheetViews>
    <sheetView workbookViewId="0" topLeftCell="A1">
      <pane ySplit="1" topLeftCell="A2" activePane="bottomLeft" state="frozen"/>
      <selection pane="bottomLeft" activeCell="B3" sqref="B3"/>
    </sheetView>
  </sheetViews>
  <sheetFormatPr defaultColWidth="14.421875" defaultRowHeight="12.75" customHeight="1"/>
  <cols>
    <col min="1" max="1" width="38.8515625" style="0" customWidth="1"/>
    <col min="2" max="2" width="6.421875" style="0" customWidth="1"/>
    <col min="3" max="3" width="6.00390625" style="0" customWidth="1"/>
    <col min="4" max="4" width="52.8515625" style="0" customWidth="1"/>
    <col min="5" max="5" width="8.8515625" style="0" customWidth="1"/>
    <col min="6" max="6" width="17.28125" style="0" hidden="1" customWidth="1"/>
    <col min="7" max="7" width="3.7109375" style="0" customWidth="1"/>
    <col min="8" max="8" width="3.28125" style="0" customWidth="1"/>
    <col min="9" max="9" width="10.421875" style="0" customWidth="1"/>
    <col min="10" max="10" width="3.140625" style="0" customWidth="1"/>
    <col min="11" max="12" width="3.7109375" style="0" customWidth="1"/>
    <col min="13" max="23" width="17.28125" style="0" customWidth="1"/>
  </cols>
  <sheetData>
    <row r="1" spans="1:23" ht="12.75">
      <c r="A1" s="3" t="s">
        <v>18</v>
      </c>
      <c r="B1" s="3" t="s">
        <v>32</v>
      </c>
      <c r="C1" s="3" t="s">
        <v>33</v>
      </c>
      <c r="D1" s="3" t="s">
        <v>34</v>
      </c>
      <c r="E1" s="3" t="s">
        <v>35</v>
      </c>
      <c r="F1" s="3" t="s">
        <v>36</v>
      </c>
      <c r="G1" s="10"/>
      <c r="H1" s="12"/>
      <c r="I1" s="1" t="s">
        <v>38</v>
      </c>
      <c r="J1" s="1" t="s">
        <v>39</v>
      </c>
      <c r="K1" s="1" t="s">
        <v>40</v>
      </c>
      <c r="L1" s="1" t="s">
        <v>41</v>
      </c>
      <c r="M1" s="9"/>
      <c r="N1" s="10"/>
      <c r="O1" s="10"/>
      <c r="P1" s="10"/>
      <c r="Q1" s="10"/>
      <c r="R1" s="10"/>
      <c r="S1" s="10"/>
      <c r="T1" s="10"/>
      <c r="U1" s="10"/>
      <c r="V1" s="10"/>
      <c r="W1" s="10"/>
    </row>
    <row r="2" spans="1:13" ht="12.75">
      <c r="A2" s="13" t="s">
        <v>42</v>
      </c>
      <c r="B2" s="13">
        <v>1</v>
      </c>
      <c r="C2" s="13" t="s">
        <v>49</v>
      </c>
      <c r="D2" s="13" t="s">
        <v>51</v>
      </c>
      <c r="E2" s="13" t="s">
        <v>53</v>
      </c>
      <c r="F2" s="35" t="str">
        <f aca="true" t="shared" si="0" ref="F2:F147">A2&amp;C2&amp;E2</f>
        <v>PayPalplny</v>
      </c>
      <c r="H2" s="78"/>
      <c r="I2" s="8" t="s">
        <v>42</v>
      </c>
      <c r="J2" s="82" t="str">
        <f aca="true" t="shared" si="1" ref="J2:J10">COUNTIF(F:F,I2&amp;"pln"&amp;"?")</f>
        <v>11</v>
      </c>
      <c r="K2" s="82" t="str">
        <f aca="true" t="shared" si="2" ref="K2:K10">COUNTIF(F:F,I2&amp;"???"&amp;"y")</f>
        <v>11</v>
      </c>
      <c r="L2" s="82" t="str">
        <f aca="true" t="shared" si="3" ref="L2:L10">K2-J2</f>
        <v>0</v>
      </c>
      <c r="M2" s="19"/>
    </row>
    <row r="3" spans="1:13" ht="12.75">
      <c r="A3" s="13" t="s">
        <v>42</v>
      </c>
      <c r="B3" s="35" t="str">
        <f aca="true" t="shared" si="4" ref="B3:B13">B2+1</f>
        <v>2</v>
      </c>
      <c r="C3" s="13" t="s">
        <v>49</v>
      </c>
      <c r="D3" s="13" t="s">
        <v>243</v>
      </c>
      <c r="E3" s="13" t="s">
        <v>53</v>
      </c>
      <c r="F3" s="35" t="str">
        <f t="shared" si="0"/>
        <v>PayPalplny</v>
      </c>
      <c r="H3" s="78"/>
      <c r="I3" s="8" t="s">
        <v>246</v>
      </c>
      <c r="J3" s="82" t="str">
        <f t="shared" si="1"/>
        <v>11</v>
      </c>
      <c r="K3" s="82" t="str">
        <f t="shared" si="2"/>
        <v>10</v>
      </c>
      <c r="L3" s="82" t="str">
        <f t="shared" si="3"/>
        <v>-1</v>
      </c>
      <c r="M3" s="19"/>
    </row>
    <row r="4" spans="1:13" ht="12.75">
      <c r="A4" s="13" t="s">
        <v>42</v>
      </c>
      <c r="B4" s="35" t="str">
        <f t="shared" si="4"/>
        <v>3</v>
      </c>
      <c r="C4" s="13" t="s">
        <v>49</v>
      </c>
      <c r="D4" s="13" t="s">
        <v>250</v>
      </c>
      <c r="E4" s="13" t="s">
        <v>53</v>
      </c>
      <c r="F4" s="35" t="str">
        <f t="shared" si="0"/>
        <v>PayPalplny</v>
      </c>
      <c r="H4" s="78"/>
      <c r="I4" s="8" t="s">
        <v>168</v>
      </c>
      <c r="J4" s="82" t="str">
        <f t="shared" si="1"/>
        <v>36</v>
      </c>
      <c r="K4" s="82" t="str">
        <f t="shared" si="2"/>
        <v>36</v>
      </c>
      <c r="L4" s="82" t="str">
        <f t="shared" si="3"/>
        <v>0</v>
      </c>
      <c r="M4" s="19"/>
    </row>
    <row r="5" spans="1:13" ht="12.75">
      <c r="A5" s="13" t="s">
        <v>42</v>
      </c>
      <c r="B5" s="35" t="str">
        <f t="shared" si="4"/>
        <v>4</v>
      </c>
      <c r="C5" s="13" t="s">
        <v>49</v>
      </c>
      <c r="D5" s="13" t="s">
        <v>255</v>
      </c>
      <c r="E5" s="13" t="s">
        <v>53</v>
      </c>
      <c r="F5" s="35" t="str">
        <f t="shared" si="0"/>
        <v>PayPalplny</v>
      </c>
      <c r="H5" s="78"/>
      <c r="I5" s="8" t="s">
        <v>64</v>
      </c>
      <c r="J5" s="82" t="str">
        <f t="shared" si="1"/>
        <v>29</v>
      </c>
      <c r="K5" s="82" t="str">
        <f t="shared" si="2"/>
        <v>0</v>
      </c>
      <c r="L5" s="82" t="str">
        <f t="shared" si="3"/>
        <v>-29</v>
      </c>
      <c r="M5" s="19"/>
    </row>
    <row r="6" spans="1:13" ht="12.75">
      <c r="A6" s="13" t="s">
        <v>42</v>
      </c>
      <c r="B6" s="35" t="str">
        <f t="shared" si="4"/>
        <v>5</v>
      </c>
      <c r="C6" s="13" t="s">
        <v>49</v>
      </c>
      <c r="D6" s="13" t="s">
        <v>261</v>
      </c>
      <c r="E6" s="13" t="s">
        <v>53</v>
      </c>
      <c r="F6" s="35" t="str">
        <f t="shared" si="0"/>
        <v>PayPalplny</v>
      </c>
      <c r="H6" s="78"/>
      <c r="I6" s="8" t="s">
        <v>150</v>
      </c>
      <c r="J6" s="82" t="str">
        <f t="shared" si="1"/>
        <v>29</v>
      </c>
      <c r="K6" s="82" t="str">
        <f t="shared" si="2"/>
        <v>29</v>
      </c>
      <c r="L6" s="82" t="str">
        <f t="shared" si="3"/>
        <v>0</v>
      </c>
      <c r="M6" s="19"/>
    </row>
    <row r="7" spans="1:13" ht="12.75">
      <c r="A7" s="13" t="s">
        <v>42</v>
      </c>
      <c r="B7" s="35" t="str">
        <f t="shared" si="4"/>
        <v>6</v>
      </c>
      <c r="C7" s="13" t="s">
        <v>49</v>
      </c>
      <c r="D7" s="13" t="s">
        <v>270</v>
      </c>
      <c r="E7" s="13" t="s">
        <v>53</v>
      </c>
      <c r="F7" s="35" t="str">
        <f t="shared" si="0"/>
        <v>PayPalplny</v>
      </c>
      <c r="H7" s="78"/>
      <c r="I7" s="8" t="s">
        <v>271</v>
      </c>
      <c r="J7" s="82" t="str">
        <f t="shared" si="1"/>
        <v>9</v>
      </c>
      <c r="K7" s="82" t="str">
        <f t="shared" si="2"/>
        <v>9</v>
      </c>
      <c r="L7" s="82" t="str">
        <f t="shared" si="3"/>
        <v>0</v>
      </c>
      <c r="M7" s="19"/>
    </row>
    <row r="8" spans="1:13" ht="12.75">
      <c r="A8" s="13" t="s">
        <v>42</v>
      </c>
      <c r="B8" s="35" t="str">
        <f t="shared" si="4"/>
        <v>7</v>
      </c>
      <c r="C8" s="13" t="s">
        <v>49</v>
      </c>
      <c r="D8" s="13" t="s">
        <v>274</v>
      </c>
      <c r="E8" s="13" t="s">
        <v>53</v>
      </c>
      <c r="F8" s="35" t="str">
        <f t="shared" si="0"/>
        <v>PayPalplny</v>
      </c>
      <c r="H8" s="78"/>
      <c r="I8" s="90" t="s">
        <v>275</v>
      </c>
      <c r="J8" s="82" t="str">
        <f t="shared" si="1"/>
        <v>6</v>
      </c>
      <c r="K8" s="82" t="str">
        <f t="shared" si="2"/>
        <v>0</v>
      </c>
      <c r="L8" s="82" t="str">
        <f t="shared" si="3"/>
        <v>-6</v>
      </c>
      <c r="M8" s="19"/>
    </row>
    <row r="9" spans="1:13" ht="12.75">
      <c r="A9" s="13" t="s">
        <v>42</v>
      </c>
      <c r="B9" s="35" t="str">
        <f t="shared" si="4"/>
        <v>8</v>
      </c>
      <c r="C9" s="13" t="s">
        <v>49</v>
      </c>
      <c r="D9" s="13" t="s">
        <v>280</v>
      </c>
      <c r="E9" s="13" t="s">
        <v>53</v>
      </c>
      <c r="F9" s="35" t="str">
        <f t="shared" si="0"/>
        <v>PayPalplny</v>
      </c>
      <c r="H9" s="93"/>
      <c r="I9" s="24" t="s">
        <v>281</v>
      </c>
      <c r="J9" s="82" t="str">
        <f t="shared" si="1"/>
        <v>9</v>
      </c>
      <c r="K9" s="82" t="str">
        <f t="shared" si="2"/>
        <v>0</v>
      </c>
      <c r="L9" s="82" t="str">
        <f t="shared" si="3"/>
        <v>-9</v>
      </c>
      <c r="M9" s="19"/>
    </row>
    <row r="10" spans="1:13" ht="12.75">
      <c r="A10" s="13" t="s">
        <v>42</v>
      </c>
      <c r="B10" s="35" t="str">
        <f t="shared" si="4"/>
        <v>9</v>
      </c>
      <c r="C10" s="13" t="s">
        <v>49</v>
      </c>
      <c r="D10" s="13" t="s">
        <v>283</v>
      </c>
      <c r="E10" s="13" t="s">
        <v>53</v>
      </c>
      <c r="F10" s="35" t="str">
        <f t="shared" si="0"/>
        <v>PayPalplny</v>
      </c>
      <c r="H10" s="93"/>
      <c r="I10" s="24" t="s">
        <v>284</v>
      </c>
      <c r="J10" s="82" t="str">
        <f t="shared" si="1"/>
        <v>5</v>
      </c>
      <c r="K10" s="82" t="str">
        <f t="shared" si="2"/>
        <v>0</v>
      </c>
      <c r="L10" s="82" t="str">
        <f t="shared" si="3"/>
        <v>-5</v>
      </c>
      <c r="M10" s="19"/>
    </row>
    <row r="11" spans="1:13" ht="12.75">
      <c r="A11" s="13" t="s">
        <v>42</v>
      </c>
      <c r="B11" s="35" t="str">
        <f t="shared" si="4"/>
        <v>10</v>
      </c>
      <c r="C11" s="13" t="s">
        <v>49</v>
      </c>
      <c r="D11" s="13" t="s">
        <v>289</v>
      </c>
      <c r="E11" s="13" t="s">
        <v>53</v>
      </c>
      <c r="F11" s="35" t="str">
        <f t="shared" si="0"/>
        <v>PayPalplny</v>
      </c>
      <c r="H11" s="78"/>
      <c r="I11" s="69"/>
      <c r="J11" s="5"/>
      <c r="K11" s="5"/>
      <c r="L11" s="5"/>
      <c r="M11" s="19"/>
    </row>
    <row r="12" spans="1:13" ht="12.75">
      <c r="A12" s="13" t="s">
        <v>42</v>
      </c>
      <c r="B12" s="35" t="str">
        <f t="shared" si="4"/>
        <v>11</v>
      </c>
      <c r="C12" s="13" t="s">
        <v>49</v>
      </c>
      <c r="D12" s="13" t="s">
        <v>296</v>
      </c>
      <c r="E12" s="13" t="s">
        <v>297</v>
      </c>
      <c r="F12" s="35" t="str">
        <f t="shared" si="0"/>
        <v>PayPalplnn</v>
      </c>
      <c r="H12" s="78"/>
      <c r="I12" s="5"/>
      <c r="J12" s="5"/>
      <c r="K12" s="5"/>
      <c r="L12" s="5"/>
      <c r="M12" s="19"/>
    </row>
    <row r="13" spans="1:13" ht="12.75">
      <c r="A13" s="13" t="s">
        <v>42</v>
      </c>
      <c r="B13" s="35" t="str">
        <f t="shared" si="4"/>
        <v>12</v>
      </c>
      <c r="C13" s="13" t="s">
        <v>299</v>
      </c>
      <c r="D13" s="13" t="s">
        <v>300</v>
      </c>
      <c r="E13" s="13" t="s">
        <v>53</v>
      </c>
      <c r="F13" s="35" t="str">
        <f t="shared" si="0"/>
        <v>PayPaladdy</v>
      </c>
      <c r="H13" s="78"/>
      <c r="I13" s="5"/>
      <c r="J13" s="5"/>
      <c r="K13" s="5"/>
      <c r="L13" s="5"/>
      <c r="M13" s="19"/>
    </row>
    <row r="14" spans="1:13" ht="12.75">
      <c r="A14" s="13" t="s">
        <v>246</v>
      </c>
      <c r="B14" s="13">
        <v>1</v>
      </c>
      <c r="C14" s="13" t="s">
        <v>49</v>
      </c>
      <c r="D14" s="13" t="s">
        <v>305</v>
      </c>
      <c r="E14" s="13" t="s">
        <v>53</v>
      </c>
      <c r="F14" s="35" t="str">
        <f t="shared" si="0"/>
        <v>XYZCompany club digital interface and data routingplny</v>
      </c>
      <c r="H14" s="78"/>
      <c r="I14" s="5"/>
      <c r="J14" s="5"/>
      <c r="K14" s="5"/>
      <c r="L14" s="5"/>
      <c r="M14" s="19"/>
    </row>
    <row r="15" spans="1:13" ht="12.75">
      <c r="A15" s="13" t="s">
        <v>246</v>
      </c>
      <c r="B15" s="13">
        <v>2</v>
      </c>
      <c r="C15" s="13" t="s">
        <v>49</v>
      </c>
      <c r="D15" s="13" t="s">
        <v>306</v>
      </c>
      <c r="E15" s="13" t="s">
        <v>53</v>
      </c>
      <c r="F15" s="35" t="str">
        <f t="shared" si="0"/>
        <v>XYZCompany club digital interface and data routingplny</v>
      </c>
      <c r="H15" s="78"/>
      <c r="I15" s="5"/>
      <c r="J15" s="5"/>
      <c r="K15" s="5"/>
      <c r="L15" s="5"/>
      <c r="M15" s="19"/>
    </row>
    <row r="16" spans="1:13" ht="12.75">
      <c r="A16" s="13" t="s">
        <v>246</v>
      </c>
      <c r="B16" s="13">
        <v>3</v>
      </c>
      <c r="C16" s="13" t="s">
        <v>49</v>
      </c>
      <c r="D16" s="13" t="s">
        <v>308</v>
      </c>
      <c r="E16" s="13" t="s">
        <v>53</v>
      </c>
      <c r="F16" s="35" t="str">
        <f t="shared" si="0"/>
        <v>XYZCompany club digital interface and data routingplny</v>
      </c>
      <c r="H16" s="78"/>
      <c r="I16" s="5"/>
      <c r="J16" s="5"/>
      <c r="K16" s="5"/>
      <c r="L16" s="5"/>
      <c r="M16" s="19"/>
    </row>
    <row r="17" spans="1:13" ht="12.75">
      <c r="A17" s="13" t="s">
        <v>246</v>
      </c>
      <c r="B17" s="13">
        <v>4</v>
      </c>
      <c r="C17" s="13" t="s">
        <v>49</v>
      </c>
      <c r="D17" s="13" t="s">
        <v>311</v>
      </c>
      <c r="E17" s="13" t="s">
        <v>53</v>
      </c>
      <c r="F17" s="35" t="str">
        <f t="shared" si="0"/>
        <v>XYZCompany club digital interface and data routingplny</v>
      </c>
      <c r="H17" s="78"/>
      <c r="I17" s="5"/>
      <c r="J17" s="5"/>
      <c r="K17" s="5"/>
      <c r="L17" s="5"/>
      <c r="M17" s="19"/>
    </row>
    <row r="18" spans="1:13" ht="12.75">
      <c r="A18" s="13" t="s">
        <v>246</v>
      </c>
      <c r="B18" s="13">
        <v>5</v>
      </c>
      <c r="C18" s="13" t="s">
        <v>49</v>
      </c>
      <c r="D18" s="13" t="s">
        <v>312</v>
      </c>
      <c r="E18" s="13" t="s">
        <v>53</v>
      </c>
      <c r="F18" s="35" t="str">
        <f t="shared" si="0"/>
        <v>XYZCompany club digital interface and data routingplny</v>
      </c>
      <c r="H18" s="78"/>
      <c r="I18" s="5"/>
      <c r="J18" s="5"/>
      <c r="K18" s="5"/>
      <c r="L18" s="5"/>
      <c r="M18" s="19"/>
    </row>
    <row r="19" spans="1:13" ht="12.75">
      <c r="A19" s="13" t="s">
        <v>246</v>
      </c>
      <c r="B19" s="13">
        <v>6</v>
      </c>
      <c r="C19" s="13" t="s">
        <v>49</v>
      </c>
      <c r="D19" s="13" t="s">
        <v>314</v>
      </c>
      <c r="E19" s="13" t="s">
        <v>53</v>
      </c>
      <c r="F19" s="35" t="str">
        <f t="shared" si="0"/>
        <v>XYZCompany club digital interface and data routingplny</v>
      </c>
      <c r="H19" s="78"/>
      <c r="I19" s="5"/>
      <c r="J19" s="5"/>
      <c r="K19" s="5"/>
      <c r="L19" s="5"/>
      <c r="M19" s="19"/>
    </row>
    <row r="20" spans="1:13" ht="12.75">
      <c r="A20" s="13" t="s">
        <v>246</v>
      </c>
      <c r="B20" s="13">
        <v>7</v>
      </c>
      <c r="C20" s="13" t="s">
        <v>49</v>
      </c>
      <c r="D20" s="13" t="s">
        <v>317</v>
      </c>
      <c r="E20" s="13" t="s">
        <v>53</v>
      </c>
      <c r="F20" s="35" t="str">
        <f t="shared" si="0"/>
        <v>XYZCompany club digital interface and data routingplny</v>
      </c>
      <c r="H20" s="78"/>
      <c r="I20" s="5"/>
      <c r="J20" s="5"/>
      <c r="K20" s="5"/>
      <c r="L20" s="5"/>
      <c r="M20" s="19"/>
    </row>
    <row r="21" spans="1:13" ht="12.75">
      <c r="A21" s="13" t="s">
        <v>246</v>
      </c>
      <c r="B21" s="13">
        <v>8</v>
      </c>
      <c r="C21" s="13" t="s">
        <v>49</v>
      </c>
      <c r="D21" s="13" t="s">
        <v>320</v>
      </c>
      <c r="E21" s="13" t="s">
        <v>53</v>
      </c>
      <c r="F21" s="35" t="str">
        <f t="shared" si="0"/>
        <v>XYZCompany club digital interface and data routingplny</v>
      </c>
      <c r="H21" s="78"/>
      <c r="I21" s="5"/>
      <c r="J21" s="5"/>
      <c r="K21" s="5"/>
      <c r="L21" s="5"/>
      <c r="M21" s="19"/>
    </row>
    <row r="22" spans="1:13" ht="12.75">
      <c r="A22" s="13" t="s">
        <v>246</v>
      </c>
      <c r="B22" s="13">
        <v>9</v>
      </c>
      <c r="C22" s="13" t="s">
        <v>49</v>
      </c>
      <c r="D22" s="13" t="s">
        <v>323</v>
      </c>
      <c r="E22" s="13" t="s">
        <v>53</v>
      </c>
      <c r="F22" s="35" t="str">
        <f t="shared" si="0"/>
        <v>XYZCompany club digital interface and data routingplny</v>
      </c>
      <c r="H22" s="78"/>
      <c r="I22" s="5"/>
      <c r="J22" s="5"/>
      <c r="K22" s="5"/>
      <c r="L22" s="5"/>
      <c r="M22" s="19"/>
    </row>
    <row r="23" spans="1:13" ht="12.75">
      <c r="A23" s="13" t="s">
        <v>246</v>
      </c>
      <c r="B23" s="13">
        <v>10</v>
      </c>
      <c r="C23" s="13" t="s">
        <v>49</v>
      </c>
      <c r="D23" s="13" t="s">
        <v>324</v>
      </c>
      <c r="E23" s="13" t="s">
        <v>297</v>
      </c>
      <c r="F23" s="35" t="str">
        <f t="shared" si="0"/>
        <v>XYZCompany club digital interface and data routingplnn</v>
      </c>
      <c r="H23" s="78"/>
      <c r="I23" s="5"/>
      <c r="J23" s="5"/>
      <c r="K23" s="5"/>
      <c r="L23" s="5"/>
      <c r="M23" s="19"/>
    </row>
    <row r="24" spans="1:13" ht="12.75">
      <c r="A24" s="13" t="s">
        <v>246</v>
      </c>
      <c r="B24" s="13">
        <v>11</v>
      </c>
      <c r="C24" s="13" t="s">
        <v>49</v>
      </c>
      <c r="D24" s="13" t="s">
        <v>327</v>
      </c>
      <c r="E24" s="13" t="s">
        <v>53</v>
      </c>
      <c r="F24" s="35" t="str">
        <f t="shared" si="0"/>
        <v>XYZCompany club digital interface and data routingplny</v>
      </c>
      <c r="H24" s="78"/>
      <c r="I24" s="5"/>
      <c r="J24" s="5"/>
      <c r="K24" s="5"/>
      <c r="L24" s="5"/>
      <c r="M24" s="19"/>
    </row>
    <row r="25" spans="1:13" ht="12.75">
      <c r="A25" s="13" t="s">
        <v>271</v>
      </c>
      <c r="B25" s="13">
        <v>1</v>
      </c>
      <c r="C25" s="13" t="s">
        <v>49</v>
      </c>
      <c r="D25" s="13" t="s">
        <v>329</v>
      </c>
      <c r="E25" s="13" t="s">
        <v>53</v>
      </c>
      <c r="F25" s="35" t="str">
        <f t="shared" si="0"/>
        <v>Mobile Site Global Rolloutplny</v>
      </c>
      <c r="H25" s="78"/>
      <c r="I25" s="5"/>
      <c r="J25" s="5"/>
      <c r="K25" s="5"/>
      <c r="L25" s="5"/>
      <c r="M25" s="19"/>
    </row>
    <row r="26" spans="1:13" ht="12.75">
      <c r="A26" s="13" t="s">
        <v>271</v>
      </c>
      <c r="B26" s="13">
        <v>2</v>
      </c>
      <c r="C26" s="13" t="s">
        <v>49</v>
      </c>
      <c r="D26" s="13" t="s">
        <v>331</v>
      </c>
      <c r="E26" s="13" t="s">
        <v>53</v>
      </c>
      <c r="F26" s="35" t="str">
        <f t="shared" si="0"/>
        <v>Mobile Site Global Rolloutplny</v>
      </c>
      <c r="H26" s="78"/>
      <c r="I26" s="5"/>
      <c r="J26" s="5"/>
      <c r="K26" s="5"/>
      <c r="L26" s="5"/>
      <c r="M26" s="19"/>
    </row>
    <row r="27" spans="1:13" ht="12.75">
      <c r="A27" s="13" t="s">
        <v>271</v>
      </c>
      <c r="B27" s="13">
        <v>3</v>
      </c>
      <c r="C27" s="13" t="s">
        <v>49</v>
      </c>
      <c r="D27" s="13" t="s">
        <v>333</v>
      </c>
      <c r="E27" s="13" t="s">
        <v>53</v>
      </c>
      <c r="F27" s="35" t="str">
        <f t="shared" si="0"/>
        <v>Mobile Site Global Rolloutplny</v>
      </c>
      <c r="H27" s="78"/>
      <c r="I27" s="5"/>
      <c r="J27" s="5"/>
      <c r="K27" s="5"/>
      <c r="L27" s="5"/>
      <c r="M27" s="19"/>
    </row>
    <row r="28" spans="1:13" ht="12.75">
      <c r="A28" s="13" t="s">
        <v>271</v>
      </c>
      <c r="B28" s="13">
        <v>4</v>
      </c>
      <c r="C28" s="13" t="s">
        <v>49</v>
      </c>
      <c r="D28" s="13" t="s">
        <v>334</v>
      </c>
      <c r="E28" s="13" t="s">
        <v>53</v>
      </c>
      <c r="F28" s="35" t="str">
        <f t="shared" si="0"/>
        <v>Mobile Site Global Rolloutplny</v>
      </c>
      <c r="H28" s="78"/>
      <c r="I28" s="5"/>
      <c r="J28" s="5"/>
      <c r="K28" s="5"/>
      <c r="L28" s="5"/>
      <c r="M28" s="19"/>
    </row>
    <row r="29" spans="1:13" ht="12.75">
      <c r="A29" s="13" t="s">
        <v>271</v>
      </c>
      <c r="B29" s="13">
        <v>5</v>
      </c>
      <c r="C29" s="13" t="s">
        <v>49</v>
      </c>
      <c r="D29" s="13" t="s">
        <v>335</v>
      </c>
      <c r="E29" s="13" t="s">
        <v>53</v>
      </c>
      <c r="F29" s="35" t="str">
        <f t="shared" si="0"/>
        <v>Mobile Site Global Rolloutplny</v>
      </c>
      <c r="H29" s="78"/>
      <c r="I29" s="5"/>
      <c r="J29" s="5"/>
      <c r="K29" s="5"/>
      <c r="L29" s="5"/>
      <c r="M29" s="19"/>
    </row>
    <row r="30" spans="1:13" ht="12.75">
      <c r="A30" s="13" t="s">
        <v>271</v>
      </c>
      <c r="B30" s="13">
        <v>6</v>
      </c>
      <c r="C30" s="13" t="s">
        <v>49</v>
      </c>
      <c r="D30" s="13" t="s">
        <v>337</v>
      </c>
      <c r="E30" s="13" t="s">
        <v>53</v>
      </c>
      <c r="F30" s="35" t="str">
        <f t="shared" si="0"/>
        <v>Mobile Site Global Rolloutplny</v>
      </c>
      <c r="H30" s="78"/>
      <c r="I30" s="5"/>
      <c r="J30" s="5"/>
      <c r="K30" s="5"/>
      <c r="L30" s="5"/>
      <c r="M30" s="19"/>
    </row>
    <row r="31" spans="1:13" ht="12.75">
      <c r="A31" s="13" t="s">
        <v>271</v>
      </c>
      <c r="B31" s="13">
        <v>7</v>
      </c>
      <c r="C31" s="13" t="s">
        <v>49</v>
      </c>
      <c r="D31" s="13" t="s">
        <v>338</v>
      </c>
      <c r="E31" s="13" t="s">
        <v>53</v>
      </c>
      <c r="F31" s="35" t="str">
        <f t="shared" si="0"/>
        <v>Mobile Site Global Rolloutplny</v>
      </c>
      <c r="H31" s="78"/>
      <c r="I31" s="5"/>
      <c r="J31" s="5"/>
      <c r="K31" s="5"/>
      <c r="L31" s="5"/>
      <c r="M31" s="19"/>
    </row>
    <row r="32" spans="1:13" ht="12.75">
      <c r="A32" s="13" t="s">
        <v>271</v>
      </c>
      <c r="B32" s="13">
        <v>8</v>
      </c>
      <c r="C32" s="13" t="s">
        <v>49</v>
      </c>
      <c r="D32" s="13" t="s">
        <v>339</v>
      </c>
      <c r="E32" s="13" t="s">
        <v>53</v>
      </c>
      <c r="F32" s="35" t="str">
        <f t="shared" si="0"/>
        <v>Mobile Site Global Rolloutplny</v>
      </c>
      <c r="H32" s="78"/>
      <c r="I32" s="5"/>
      <c r="J32" s="5"/>
      <c r="K32" s="5"/>
      <c r="L32" s="5"/>
      <c r="M32" s="19"/>
    </row>
    <row r="33" spans="1:13" ht="12.75">
      <c r="A33" s="13" t="s">
        <v>271</v>
      </c>
      <c r="B33" s="13">
        <v>9</v>
      </c>
      <c r="C33" s="13" t="s">
        <v>49</v>
      </c>
      <c r="D33" s="13" t="s">
        <v>340</v>
      </c>
      <c r="E33" s="13" t="s">
        <v>53</v>
      </c>
      <c r="F33" s="35" t="str">
        <f t="shared" si="0"/>
        <v>Mobile Site Global Rolloutplny</v>
      </c>
      <c r="H33" s="78"/>
      <c r="I33" s="5"/>
      <c r="J33" s="5"/>
      <c r="K33" s="5"/>
      <c r="L33" s="5"/>
      <c r="M33" s="19"/>
    </row>
    <row r="34" spans="1:13" ht="12.75">
      <c r="A34" s="13" t="s">
        <v>168</v>
      </c>
      <c r="B34" s="13">
        <v>1</v>
      </c>
      <c r="C34" s="13" t="s">
        <v>49</v>
      </c>
      <c r="D34" s="13" t="s">
        <v>341</v>
      </c>
      <c r="E34" s="13" t="s">
        <v>53</v>
      </c>
      <c r="F34" s="35" t="str">
        <f t="shared" si="0"/>
        <v>Redesign: JPplny</v>
      </c>
      <c r="H34" s="78"/>
      <c r="I34" s="5"/>
      <c r="J34" s="5"/>
      <c r="K34" s="5"/>
      <c r="L34" s="5"/>
      <c r="M34" s="19"/>
    </row>
    <row r="35" spans="1:13" ht="12.75">
      <c r="A35" s="13" t="s">
        <v>168</v>
      </c>
      <c r="B35" s="13">
        <v>2</v>
      </c>
      <c r="C35" s="13" t="s">
        <v>49</v>
      </c>
      <c r="D35" s="13" t="s">
        <v>342</v>
      </c>
      <c r="E35" s="13" t="s">
        <v>53</v>
      </c>
      <c r="F35" s="35" t="str">
        <f t="shared" si="0"/>
        <v>Redesign: JPplny</v>
      </c>
      <c r="H35" s="78"/>
      <c r="I35" s="5"/>
      <c r="J35" s="5"/>
      <c r="K35" s="5"/>
      <c r="L35" s="5"/>
      <c r="M35" s="19"/>
    </row>
    <row r="36" spans="1:13" ht="12.75">
      <c r="A36" s="13" t="s">
        <v>168</v>
      </c>
      <c r="B36" s="13">
        <v>3</v>
      </c>
      <c r="C36" s="13" t="s">
        <v>49</v>
      </c>
      <c r="D36" s="13" t="s">
        <v>343</v>
      </c>
      <c r="E36" s="13" t="s">
        <v>53</v>
      </c>
      <c r="F36" s="35" t="str">
        <f t="shared" si="0"/>
        <v>Redesign: JPplny</v>
      </c>
      <c r="H36" s="78"/>
      <c r="I36" s="5"/>
      <c r="J36" s="5"/>
      <c r="K36" s="5"/>
      <c r="L36" s="5"/>
      <c r="M36" s="19"/>
    </row>
    <row r="37" spans="1:13" ht="12.75">
      <c r="A37" s="13" t="s">
        <v>168</v>
      </c>
      <c r="B37" s="13">
        <v>4</v>
      </c>
      <c r="C37" s="13" t="s">
        <v>49</v>
      </c>
      <c r="D37" s="13" t="s">
        <v>344</v>
      </c>
      <c r="E37" s="13" t="s">
        <v>53</v>
      </c>
      <c r="F37" s="35" t="str">
        <f t="shared" si="0"/>
        <v>Redesign: JPplny</v>
      </c>
      <c r="H37" s="78"/>
      <c r="I37" s="5"/>
      <c r="J37" s="5"/>
      <c r="K37" s="5"/>
      <c r="L37" s="5"/>
      <c r="M37" s="19"/>
    </row>
    <row r="38" spans="1:13" ht="12.75">
      <c r="A38" s="13" t="s">
        <v>168</v>
      </c>
      <c r="B38" s="13">
        <v>5</v>
      </c>
      <c r="C38" s="13" t="s">
        <v>49</v>
      </c>
      <c r="D38" s="13" t="s">
        <v>345</v>
      </c>
      <c r="E38" s="13" t="s">
        <v>53</v>
      </c>
      <c r="F38" s="35" t="str">
        <f t="shared" si="0"/>
        <v>Redesign: JPplny</v>
      </c>
      <c r="H38" s="78"/>
      <c r="I38" s="5"/>
      <c r="J38" s="5"/>
      <c r="K38" s="5"/>
      <c r="L38" s="5"/>
      <c r="M38" s="19"/>
    </row>
    <row r="39" spans="1:13" ht="12.75">
      <c r="A39" s="13" t="s">
        <v>168</v>
      </c>
      <c r="B39" s="13">
        <v>6</v>
      </c>
      <c r="C39" s="13" t="s">
        <v>49</v>
      </c>
      <c r="D39" s="13" t="s">
        <v>346</v>
      </c>
      <c r="E39" s="13" t="s">
        <v>53</v>
      </c>
      <c r="F39" s="35" t="str">
        <f t="shared" si="0"/>
        <v>Redesign: JPplny</v>
      </c>
      <c r="H39" s="78"/>
      <c r="I39" s="5"/>
      <c r="J39" s="5"/>
      <c r="K39" s="5"/>
      <c r="L39" s="5"/>
      <c r="M39" s="19"/>
    </row>
    <row r="40" spans="1:13" ht="12.75">
      <c r="A40" s="13" t="s">
        <v>168</v>
      </c>
      <c r="B40" s="13">
        <v>7</v>
      </c>
      <c r="C40" s="13" t="s">
        <v>49</v>
      </c>
      <c r="D40" s="13" t="s">
        <v>347</v>
      </c>
      <c r="E40" s="13" t="s">
        <v>53</v>
      </c>
      <c r="F40" s="35" t="str">
        <f t="shared" si="0"/>
        <v>Redesign: JPplny</v>
      </c>
      <c r="H40" s="78"/>
      <c r="I40" s="5"/>
      <c r="J40" s="5"/>
      <c r="K40" s="5"/>
      <c r="L40" s="5"/>
      <c r="M40" s="19"/>
    </row>
    <row r="41" spans="1:13" ht="12.75">
      <c r="A41" s="13" t="s">
        <v>168</v>
      </c>
      <c r="B41" s="13">
        <v>8</v>
      </c>
      <c r="C41" s="13" t="s">
        <v>49</v>
      </c>
      <c r="D41" s="13" t="s">
        <v>349</v>
      </c>
      <c r="E41" s="13" t="s">
        <v>53</v>
      </c>
      <c r="F41" s="35" t="str">
        <f t="shared" si="0"/>
        <v>Redesign: JPplny</v>
      </c>
      <c r="H41" s="78"/>
      <c r="I41" s="5"/>
      <c r="J41" s="5"/>
      <c r="K41" s="5"/>
      <c r="L41" s="5"/>
      <c r="M41" s="19"/>
    </row>
    <row r="42" spans="1:13" ht="12.75">
      <c r="A42" s="13" t="s">
        <v>168</v>
      </c>
      <c r="B42" s="13">
        <v>9</v>
      </c>
      <c r="C42" s="13" t="s">
        <v>49</v>
      </c>
      <c r="D42" s="13" t="s">
        <v>351</v>
      </c>
      <c r="E42" s="13" t="s">
        <v>53</v>
      </c>
      <c r="F42" s="35" t="str">
        <f t="shared" si="0"/>
        <v>Redesign: JPplny</v>
      </c>
      <c r="H42" s="78"/>
      <c r="I42" s="5"/>
      <c r="J42" s="5"/>
      <c r="K42" s="5"/>
      <c r="L42" s="5"/>
      <c r="M42" s="19"/>
    </row>
    <row r="43" spans="1:13" ht="12.75">
      <c r="A43" s="13" t="s">
        <v>168</v>
      </c>
      <c r="B43" s="13">
        <v>10</v>
      </c>
      <c r="C43" s="13" t="s">
        <v>49</v>
      </c>
      <c r="D43" s="13" t="s">
        <v>352</v>
      </c>
      <c r="E43" s="13" t="s">
        <v>53</v>
      </c>
      <c r="F43" s="35" t="str">
        <f t="shared" si="0"/>
        <v>Redesign: JPplny</v>
      </c>
      <c r="H43" s="78"/>
      <c r="I43" s="5"/>
      <c r="J43" s="5"/>
      <c r="K43" s="5"/>
      <c r="L43" s="5"/>
      <c r="M43" s="19"/>
    </row>
    <row r="44" spans="1:13" ht="12.75">
      <c r="A44" s="13" t="s">
        <v>168</v>
      </c>
      <c r="B44" s="13">
        <v>11</v>
      </c>
      <c r="C44" s="13" t="s">
        <v>49</v>
      </c>
      <c r="D44" s="13" t="s">
        <v>354</v>
      </c>
      <c r="E44" s="13" t="s">
        <v>53</v>
      </c>
      <c r="F44" s="35" t="str">
        <f t="shared" si="0"/>
        <v>Redesign: JPplny</v>
      </c>
      <c r="H44" s="78"/>
      <c r="I44" s="5"/>
      <c r="J44" s="5"/>
      <c r="K44" s="5"/>
      <c r="L44" s="5"/>
      <c r="M44" s="19"/>
    </row>
    <row r="45" spans="1:13" ht="12.75">
      <c r="A45" s="13" t="s">
        <v>168</v>
      </c>
      <c r="B45" s="13">
        <v>12</v>
      </c>
      <c r="C45" s="13" t="s">
        <v>49</v>
      </c>
      <c r="D45" s="13" t="s">
        <v>355</v>
      </c>
      <c r="E45" s="13" t="s">
        <v>53</v>
      </c>
      <c r="F45" s="35" t="str">
        <f t="shared" si="0"/>
        <v>Redesign: JPplny</v>
      </c>
      <c r="H45" s="78"/>
      <c r="I45" s="5"/>
      <c r="J45" s="5"/>
      <c r="K45" s="5"/>
      <c r="L45" s="5"/>
      <c r="M45" s="19"/>
    </row>
    <row r="46" spans="1:13" ht="12.75">
      <c r="A46" s="13" t="s">
        <v>168</v>
      </c>
      <c r="B46" s="13">
        <v>13</v>
      </c>
      <c r="C46" s="13" t="s">
        <v>49</v>
      </c>
      <c r="D46" s="13" t="s">
        <v>356</v>
      </c>
      <c r="E46" s="13" t="s">
        <v>53</v>
      </c>
      <c r="F46" s="35" t="str">
        <f t="shared" si="0"/>
        <v>Redesign: JPplny</v>
      </c>
      <c r="H46" s="78"/>
      <c r="I46" s="5"/>
      <c r="J46" s="5"/>
      <c r="K46" s="5"/>
      <c r="L46" s="5"/>
      <c r="M46" s="19"/>
    </row>
    <row r="47" spans="1:13" ht="12.75">
      <c r="A47" s="13" t="s">
        <v>168</v>
      </c>
      <c r="B47" s="13">
        <v>14</v>
      </c>
      <c r="C47" s="13" t="s">
        <v>49</v>
      </c>
      <c r="D47" s="13" t="s">
        <v>358</v>
      </c>
      <c r="E47" s="13" t="s">
        <v>53</v>
      </c>
      <c r="F47" s="35" t="str">
        <f t="shared" si="0"/>
        <v>Redesign: JPplny</v>
      </c>
      <c r="H47" s="78"/>
      <c r="I47" s="5"/>
      <c r="J47" s="5"/>
      <c r="K47" s="5"/>
      <c r="L47" s="5"/>
      <c r="M47" s="19"/>
    </row>
    <row r="48" spans="1:13" ht="12.75">
      <c r="A48" s="13" t="s">
        <v>168</v>
      </c>
      <c r="B48" s="13">
        <v>15</v>
      </c>
      <c r="C48" s="13" t="s">
        <v>49</v>
      </c>
      <c r="D48" s="13" t="s">
        <v>359</v>
      </c>
      <c r="E48" s="13" t="s">
        <v>53</v>
      </c>
      <c r="F48" s="35" t="str">
        <f t="shared" si="0"/>
        <v>Redesign: JPplny</v>
      </c>
      <c r="H48" s="78"/>
      <c r="I48" s="5"/>
      <c r="J48" s="5"/>
      <c r="K48" s="5"/>
      <c r="L48" s="5"/>
      <c r="M48" s="19"/>
    </row>
    <row r="49" spans="1:13" ht="12.75">
      <c r="A49" s="13" t="s">
        <v>168</v>
      </c>
      <c r="B49" s="13">
        <v>16</v>
      </c>
      <c r="C49" s="13" t="s">
        <v>49</v>
      </c>
      <c r="D49" s="13" t="s">
        <v>360</v>
      </c>
      <c r="E49" s="13" t="s">
        <v>53</v>
      </c>
      <c r="F49" s="35" t="str">
        <f t="shared" si="0"/>
        <v>Redesign: JPplny</v>
      </c>
      <c r="H49" s="78"/>
      <c r="I49" s="5"/>
      <c r="J49" s="5"/>
      <c r="K49" s="5"/>
      <c r="L49" s="5"/>
      <c r="M49" s="19"/>
    </row>
    <row r="50" spans="1:13" ht="12.75">
      <c r="A50" s="13" t="s">
        <v>168</v>
      </c>
      <c r="B50" s="13">
        <v>17</v>
      </c>
      <c r="C50" s="13" t="s">
        <v>49</v>
      </c>
      <c r="D50" s="13" t="s">
        <v>361</v>
      </c>
      <c r="E50" s="13" t="s">
        <v>53</v>
      </c>
      <c r="F50" s="35" t="str">
        <f t="shared" si="0"/>
        <v>Redesign: JPplny</v>
      </c>
      <c r="H50" s="78"/>
      <c r="I50" s="5"/>
      <c r="J50" s="5"/>
      <c r="K50" s="5"/>
      <c r="L50" s="5"/>
      <c r="M50" s="19"/>
    </row>
    <row r="51" spans="1:13" ht="12.75">
      <c r="A51" s="13" t="s">
        <v>168</v>
      </c>
      <c r="B51" s="13">
        <v>18</v>
      </c>
      <c r="C51" s="13" t="s">
        <v>49</v>
      </c>
      <c r="D51" s="13" t="s">
        <v>363</v>
      </c>
      <c r="E51" s="13" t="s">
        <v>53</v>
      </c>
      <c r="F51" s="35" t="str">
        <f t="shared" si="0"/>
        <v>Redesign: JPplny</v>
      </c>
      <c r="H51" s="78"/>
      <c r="I51" s="5"/>
      <c r="J51" s="5"/>
      <c r="K51" s="5"/>
      <c r="L51" s="5"/>
      <c r="M51" s="19"/>
    </row>
    <row r="52" spans="1:13" ht="12.75">
      <c r="A52" s="13" t="s">
        <v>168</v>
      </c>
      <c r="B52" s="13">
        <v>19</v>
      </c>
      <c r="C52" s="13" t="s">
        <v>49</v>
      </c>
      <c r="D52" s="13" t="s">
        <v>364</v>
      </c>
      <c r="E52" s="13" t="s">
        <v>53</v>
      </c>
      <c r="F52" s="35" t="str">
        <f t="shared" si="0"/>
        <v>Redesign: JPplny</v>
      </c>
      <c r="H52" s="78"/>
      <c r="I52" s="5"/>
      <c r="J52" s="5"/>
      <c r="K52" s="5"/>
      <c r="L52" s="5"/>
      <c r="M52" s="19"/>
    </row>
    <row r="53" spans="1:13" ht="12.75">
      <c r="A53" s="13" t="s">
        <v>168</v>
      </c>
      <c r="B53" s="13">
        <v>20</v>
      </c>
      <c r="C53" s="13" t="s">
        <v>49</v>
      </c>
      <c r="D53" s="13" t="s">
        <v>365</v>
      </c>
      <c r="E53" s="13" t="s">
        <v>53</v>
      </c>
      <c r="F53" s="35" t="str">
        <f t="shared" si="0"/>
        <v>Redesign: JPplny</v>
      </c>
      <c r="H53" s="78"/>
      <c r="I53" s="5"/>
      <c r="J53" s="5"/>
      <c r="K53" s="5"/>
      <c r="L53" s="5"/>
      <c r="M53" s="19"/>
    </row>
    <row r="54" spans="1:13" ht="12.75">
      <c r="A54" s="13" t="s">
        <v>168</v>
      </c>
      <c r="B54" s="13">
        <v>21</v>
      </c>
      <c r="C54" s="13" t="s">
        <v>49</v>
      </c>
      <c r="D54" s="13" t="s">
        <v>366</v>
      </c>
      <c r="E54" s="13" t="s">
        <v>53</v>
      </c>
      <c r="F54" s="35" t="str">
        <f t="shared" si="0"/>
        <v>Redesign: JPplny</v>
      </c>
      <c r="H54" s="78"/>
      <c r="I54" s="5"/>
      <c r="J54" s="5"/>
      <c r="K54" s="5"/>
      <c r="L54" s="5"/>
      <c r="M54" s="19"/>
    </row>
    <row r="55" spans="1:13" ht="12.75">
      <c r="A55" s="13" t="s">
        <v>168</v>
      </c>
      <c r="B55" s="13">
        <v>22</v>
      </c>
      <c r="C55" s="13" t="s">
        <v>49</v>
      </c>
      <c r="D55" s="13" t="s">
        <v>367</v>
      </c>
      <c r="E55" s="13" t="s">
        <v>53</v>
      </c>
      <c r="F55" s="35" t="str">
        <f t="shared" si="0"/>
        <v>Redesign: JPplny</v>
      </c>
      <c r="H55" s="78"/>
      <c r="I55" s="5"/>
      <c r="J55" s="5"/>
      <c r="K55" s="5"/>
      <c r="L55" s="5"/>
      <c r="M55" s="19"/>
    </row>
    <row r="56" spans="1:13" ht="12.75">
      <c r="A56" s="13" t="s">
        <v>168</v>
      </c>
      <c r="B56" s="13">
        <v>23</v>
      </c>
      <c r="C56" s="13" t="s">
        <v>49</v>
      </c>
      <c r="D56" s="13" t="s">
        <v>368</v>
      </c>
      <c r="E56" s="13" t="s">
        <v>53</v>
      </c>
      <c r="F56" s="35" t="str">
        <f t="shared" si="0"/>
        <v>Redesign: JPplny</v>
      </c>
      <c r="H56" s="78"/>
      <c r="I56" s="5"/>
      <c r="J56" s="5"/>
      <c r="K56" s="5"/>
      <c r="L56" s="5"/>
      <c r="M56" s="19"/>
    </row>
    <row r="57" spans="1:13" ht="12.75">
      <c r="A57" s="13" t="s">
        <v>168</v>
      </c>
      <c r="B57" s="13">
        <v>24</v>
      </c>
      <c r="C57" s="13" t="s">
        <v>49</v>
      </c>
      <c r="D57" s="13" t="s">
        <v>369</v>
      </c>
      <c r="E57" s="13" t="s">
        <v>53</v>
      </c>
      <c r="F57" s="35" t="str">
        <f t="shared" si="0"/>
        <v>Redesign: JPplny</v>
      </c>
      <c r="H57" s="78"/>
      <c r="I57" s="5"/>
      <c r="J57" s="5"/>
      <c r="K57" s="5"/>
      <c r="L57" s="5"/>
      <c r="M57" s="19"/>
    </row>
    <row r="58" spans="1:13" ht="12.75">
      <c r="A58" s="13" t="s">
        <v>168</v>
      </c>
      <c r="B58" s="13">
        <v>25</v>
      </c>
      <c r="C58" s="13" t="s">
        <v>49</v>
      </c>
      <c r="D58" s="13" t="s">
        <v>371</v>
      </c>
      <c r="E58" s="13" t="s">
        <v>53</v>
      </c>
      <c r="F58" s="35" t="str">
        <f t="shared" si="0"/>
        <v>Redesign: JPplny</v>
      </c>
      <c r="H58" s="78"/>
      <c r="I58" s="5"/>
      <c r="J58" s="5"/>
      <c r="K58" s="5"/>
      <c r="L58" s="5"/>
      <c r="M58" s="19"/>
    </row>
    <row r="59" spans="1:13" ht="12.75">
      <c r="A59" s="13" t="s">
        <v>168</v>
      </c>
      <c r="B59" s="13">
        <v>26</v>
      </c>
      <c r="C59" s="13" t="s">
        <v>49</v>
      </c>
      <c r="D59" s="13" t="s">
        <v>372</v>
      </c>
      <c r="E59" s="13" t="s">
        <v>53</v>
      </c>
      <c r="F59" s="35" t="str">
        <f t="shared" si="0"/>
        <v>Redesign: JPplny</v>
      </c>
      <c r="H59" s="78"/>
      <c r="I59" s="5"/>
      <c r="J59" s="5"/>
      <c r="K59" s="5"/>
      <c r="L59" s="5"/>
      <c r="M59" s="19"/>
    </row>
    <row r="60" spans="1:13" ht="12.75">
      <c r="A60" s="13" t="s">
        <v>168</v>
      </c>
      <c r="B60" s="13">
        <v>27</v>
      </c>
      <c r="C60" s="13" t="s">
        <v>49</v>
      </c>
      <c r="D60" s="13" t="s">
        <v>373</v>
      </c>
      <c r="E60" s="13" t="s">
        <v>53</v>
      </c>
      <c r="F60" s="35" t="str">
        <f t="shared" si="0"/>
        <v>Redesign: JPplny</v>
      </c>
      <c r="H60" s="78"/>
      <c r="I60" s="5"/>
      <c r="J60" s="5"/>
      <c r="K60" s="5"/>
      <c r="L60" s="5"/>
      <c r="M60" s="19"/>
    </row>
    <row r="61" spans="1:13" ht="12.75">
      <c r="A61" s="13" t="s">
        <v>168</v>
      </c>
      <c r="B61" s="13">
        <v>28</v>
      </c>
      <c r="C61" s="13" t="s">
        <v>49</v>
      </c>
      <c r="D61" s="13" t="s">
        <v>375</v>
      </c>
      <c r="E61" s="13" t="s">
        <v>53</v>
      </c>
      <c r="F61" s="35" t="str">
        <f t="shared" si="0"/>
        <v>Redesign: JPplny</v>
      </c>
      <c r="H61" s="78"/>
      <c r="I61" s="5"/>
      <c r="J61" s="5"/>
      <c r="K61" s="5"/>
      <c r="L61" s="5"/>
      <c r="M61" s="19"/>
    </row>
    <row r="62" spans="1:13" ht="12.75">
      <c r="A62" s="13" t="s">
        <v>168</v>
      </c>
      <c r="B62" s="13">
        <v>29</v>
      </c>
      <c r="C62" s="13" t="s">
        <v>49</v>
      </c>
      <c r="D62" s="13" t="s">
        <v>377</v>
      </c>
      <c r="E62" s="13" t="s">
        <v>53</v>
      </c>
      <c r="F62" s="35" t="str">
        <f t="shared" si="0"/>
        <v>Redesign: JPplny</v>
      </c>
      <c r="H62" s="78"/>
      <c r="I62" s="5"/>
      <c r="J62" s="5"/>
      <c r="K62" s="5"/>
      <c r="L62" s="5"/>
      <c r="M62" s="19"/>
    </row>
    <row r="63" spans="1:13" ht="12.75">
      <c r="A63" s="13" t="s">
        <v>168</v>
      </c>
      <c r="B63" s="13">
        <v>30</v>
      </c>
      <c r="C63" s="13" t="s">
        <v>49</v>
      </c>
      <c r="D63" s="13" t="s">
        <v>378</v>
      </c>
      <c r="E63" s="13" t="s">
        <v>53</v>
      </c>
      <c r="F63" s="35" t="str">
        <f t="shared" si="0"/>
        <v>Redesign: JPplny</v>
      </c>
      <c r="H63" s="78"/>
      <c r="I63" s="5"/>
      <c r="J63" s="5"/>
      <c r="K63" s="5"/>
      <c r="L63" s="5"/>
      <c r="M63" s="19"/>
    </row>
    <row r="64" spans="1:13" ht="12.75">
      <c r="A64" s="13" t="s">
        <v>168</v>
      </c>
      <c r="B64" s="13">
        <v>31</v>
      </c>
      <c r="C64" s="13" t="s">
        <v>49</v>
      </c>
      <c r="D64" s="13" t="s">
        <v>379</v>
      </c>
      <c r="E64" s="13" t="s">
        <v>53</v>
      </c>
      <c r="F64" s="35" t="str">
        <f t="shared" si="0"/>
        <v>Redesign: JPplny</v>
      </c>
      <c r="H64" s="78"/>
      <c r="I64" s="5"/>
      <c r="J64" s="5"/>
      <c r="K64" s="5"/>
      <c r="L64" s="5"/>
      <c r="M64" s="19"/>
    </row>
    <row r="65" spans="1:13" ht="12.75">
      <c r="A65" s="13" t="s">
        <v>168</v>
      </c>
      <c r="B65" s="13">
        <v>32</v>
      </c>
      <c r="C65" s="13" t="s">
        <v>49</v>
      </c>
      <c r="D65" s="13" t="s">
        <v>380</v>
      </c>
      <c r="E65" s="13" t="s">
        <v>53</v>
      </c>
      <c r="F65" s="35" t="str">
        <f t="shared" si="0"/>
        <v>Redesign: JPplny</v>
      </c>
      <c r="H65" s="78"/>
      <c r="I65" s="5"/>
      <c r="J65" s="5"/>
      <c r="K65" s="5"/>
      <c r="L65" s="5"/>
      <c r="M65" s="19"/>
    </row>
    <row r="66" spans="1:13" ht="12.75">
      <c r="A66" s="13" t="s">
        <v>168</v>
      </c>
      <c r="B66" s="13">
        <v>33</v>
      </c>
      <c r="C66" s="13" t="s">
        <v>49</v>
      </c>
      <c r="D66" s="13" t="s">
        <v>381</v>
      </c>
      <c r="E66" s="13" t="s">
        <v>53</v>
      </c>
      <c r="F66" s="35" t="str">
        <f t="shared" si="0"/>
        <v>Redesign: JPplny</v>
      </c>
      <c r="H66" s="78"/>
      <c r="I66" s="5"/>
      <c r="J66" s="5"/>
      <c r="K66" s="5"/>
      <c r="L66" s="5"/>
      <c r="M66" s="19"/>
    </row>
    <row r="67" spans="1:13" ht="12.75">
      <c r="A67" s="13" t="s">
        <v>168</v>
      </c>
      <c r="B67" s="13">
        <v>34</v>
      </c>
      <c r="C67" s="13" t="s">
        <v>49</v>
      </c>
      <c r="D67" s="13" t="s">
        <v>382</v>
      </c>
      <c r="E67" s="13" t="s">
        <v>53</v>
      </c>
      <c r="F67" s="35" t="str">
        <f t="shared" si="0"/>
        <v>Redesign: JPplny</v>
      </c>
      <c r="H67" s="78"/>
      <c r="I67" s="5"/>
      <c r="J67" s="5"/>
      <c r="K67" s="5"/>
      <c r="L67" s="5"/>
      <c r="M67" s="19"/>
    </row>
    <row r="68" spans="1:13" ht="12.75">
      <c r="A68" s="13" t="s">
        <v>168</v>
      </c>
      <c r="B68" s="13">
        <v>35</v>
      </c>
      <c r="C68" s="13" t="s">
        <v>49</v>
      </c>
      <c r="D68" s="13" t="s">
        <v>383</v>
      </c>
      <c r="E68" s="13" t="s">
        <v>53</v>
      </c>
      <c r="F68" s="35" t="str">
        <f t="shared" si="0"/>
        <v>Redesign: JPplny</v>
      </c>
      <c r="H68" s="78"/>
      <c r="I68" s="5"/>
      <c r="J68" s="5"/>
      <c r="K68" s="5"/>
      <c r="L68" s="5"/>
      <c r="M68" s="19"/>
    </row>
    <row r="69" spans="1:13" ht="12.75">
      <c r="A69" s="13" t="s">
        <v>168</v>
      </c>
      <c r="B69" s="13">
        <v>36</v>
      </c>
      <c r="C69" s="13" t="s">
        <v>49</v>
      </c>
      <c r="D69" s="13" t="s">
        <v>385</v>
      </c>
      <c r="E69" s="13" t="s">
        <v>53</v>
      </c>
      <c r="F69" s="35" t="str">
        <f t="shared" si="0"/>
        <v>Redesign: JPplny</v>
      </c>
      <c r="H69" s="78"/>
      <c r="I69" s="5"/>
      <c r="J69" s="5"/>
      <c r="K69" s="5"/>
      <c r="L69" s="5"/>
      <c r="M69" s="19"/>
    </row>
    <row r="70" spans="1:13" ht="12.75">
      <c r="A70" s="13" t="s">
        <v>150</v>
      </c>
      <c r="B70" s="13">
        <v>1</v>
      </c>
      <c r="C70" s="13" t="s">
        <v>49</v>
      </c>
      <c r="D70" s="13" t="s">
        <v>387</v>
      </c>
      <c r="E70" s="13" t="s">
        <v>53</v>
      </c>
      <c r="F70" s="35" t="str">
        <f t="shared" si="0"/>
        <v>Redesign: KRplny</v>
      </c>
      <c r="H70" s="78"/>
      <c r="I70" s="5"/>
      <c r="J70" s="5"/>
      <c r="K70" s="5"/>
      <c r="L70" s="5"/>
      <c r="M70" s="19"/>
    </row>
    <row r="71" spans="1:13" ht="12.75">
      <c r="A71" s="13" t="s">
        <v>150</v>
      </c>
      <c r="B71" s="13">
        <v>2</v>
      </c>
      <c r="C71" s="13" t="s">
        <v>49</v>
      </c>
      <c r="D71" s="13" t="s">
        <v>389</v>
      </c>
      <c r="E71" s="13" t="s">
        <v>53</v>
      </c>
      <c r="F71" s="35" t="str">
        <f t="shared" si="0"/>
        <v>Redesign: KRplny</v>
      </c>
      <c r="H71" s="78"/>
      <c r="I71" s="5"/>
      <c r="J71" s="5"/>
      <c r="K71" s="5"/>
      <c r="L71" s="5"/>
      <c r="M71" s="19"/>
    </row>
    <row r="72" spans="1:13" ht="12.75">
      <c r="A72" s="13" t="s">
        <v>150</v>
      </c>
      <c r="B72" s="13">
        <v>3</v>
      </c>
      <c r="C72" s="13" t="s">
        <v>49</v>
      </c>
      <c r="D72" s="13" t="s">
        <v>390</v>
      </c>
      <c r="E72" s="13" t="s">
        <v>53</v>
      </c>
      <c r="F72" s="35" t="str">
        <f t="shared" si="0"/>
        <v>Redesign: KRplny</v>
      </c>
      <c r="H72" s="78"/>
      <c r="I72" s="5"/>
      <c r="J72" s="5"/>
      <c r="K72" s="5"/>
      <c r="L72" s="5"/>
      <c r="M72" s="19"/>
    </row>
    <row r="73" spans="1:13" ht="12.75">
      <c r="A73" s="13" t="s">
        <v>150</v>
      </c>
      <c r="B73" s="13">
        <v>4</v>
      </c>
      <c r="C73" s="13" t="s">
        <v>49</v>
      </c>
      <c r="D73" s="13" t="s">
        <v>391</v>
      </c>
      <c r="E73" s="13" t="s">
        <v>53</v>
      </c>
      <c r="F73" s="35" t="str">
        <f t="shared" si="0"/>
        <v>Redesign: KRplny</v>
      </c>
      <c r="H73" s="78"/>
      <c r="I73" s="5"/>
      <c r="J73" s="5"/>
      <c r="K73" s="5"/>
      <c r="L73" s="5"/>
      <c r="M73" s="19"/>
    </row>
    <row r="74" spans="1:13" ht="12.75">
      <c r="A74" s="13" t="s">
        <v>150</v>
      </c>
      <c r="B74" s="13">
        <v>5</v>
      </c>
      <c r="C74" s="13" t="s">
        <v>49</v>
      </c>
      <c r="D74" s="13" t="s">
        <v>393</v>
      </c>
      <c r="E74" s="13" t="s">
        <v>53</v>
      </c>
      <c r="F74" s="35" t="str">
        <f t="shared" si="0"/>
        <v>Redesign: KRplny</v>
      </c>
      <c r="H74" s="78"/>
      <c r="I74" s="5"/>
      <c r="J74" s="5"/>
      <c r="K74" s="5"/>
      <c r="L74" s="5"/>
      <c r="M74" s="19"/>
    </row>
    <row r="75" spans="1:13" ht="12.75">
      <c r="A75" s="13" t="s">
        <v>150</v>
      </c>
      <c r="B75" s="13">
        <v>6</v>
      </c>
      <c r="C75" s="13" t="s">
        <v>49</v>
      </c>
      <c r="D75" s="13" t="s">
        <v>394</v>
      </c>
      <c r="E75" s="13" t="s">
        <v>53</v>
      </c>
      <c r="F75" s="35" t="str">
        <f t="shared" si="0"/>
        <v>Redesign: KRplny</v>
      </c>
      <c r="H75" s="78"/>
      <c r="I75" s="5"/>
      <c r="J75" s="5"/>
      <c r="K75" s="5"/>
      <c r="L75" s="5"/>
      <c r="M75" s="19"/>
    </row>
    <row r="76" spans="1:13" ht="12.75">
      <c r="A76" s="13" t="s">
        <v>150</v>
      </c>
      <c r="B76" s="13">
        <v>7</v>
      </c>
      <c r="C76" s="13" t="s">
        <v>49</v>
      </c>
      <c r="D76" s="13" t="s">
        <v>397</v>
      </c>
      <c r="E76" s="13" t="s">
        <v>53</v>
      </c>
      <c r="F76" s="35" t="str">
        <f t="shared" si="0"/>
        <v>Redesign: KRplny</v>
      </c>
      <c r="H76" s="78"/>
      <c r="I76" s="5"/>
      <c r="J76" s="5"/>
      <c r="K76" s="5"/>
      <c r="L76" s="5"/>
      <c r="M76" s="19"/>
    </row>
    <row r="77" spans="1:13" ht="12.75">
      <c r="A77" s="13" t="s">
        <v>150</v>
      </c>
      <c r="B77" s="13">
        <v>8</v>
      </c>
      <c r="C77" s="13" t="s">
        <v>49</v>
      </c>
      <c r="D77" s="13" t="s">
        <v>399</v>
      </c>
      <c r="E77" s="13" t="s">
        <v>53</v>
      </c>
      <c r="F77" s="35" t="str">
        <f t="shared" si="0"/>
        <v>Redesign: KRplny</v>
      </c>
      <c r="H77" s="78"/>
      <c r="I77" s="5"/>
      <c r="J77" s="5"/>
      <c r="K77" s="5"/>
      <c r="L77" s="5"/>
      <c r="M77" s="19"/>
    </row>
    <row r="78" spans="1:13" ht="12.75">
      <c r="A78" s="13" t="s">
        <v>150</v>
      </c>
      <c r="B78" s="13">
        <v>9</v>
      </c>
      <c r="C78" s="13" t="s">
        <v>49</v>
      </c>
      <c r="D78" s="13" t="s">
        <v>351</v>
      </c>
      <c r="E78" s="13" t="s">
        <v>53</v>
      </c>
      <c r="F78" s="35" t="str">
        <f t="shared" si="0"/>
        <v>Redesign: KRplny</v>
      </c>
      <c r="H78" s="78"/>
      <c r="I78" s="5"/>
      <c r="J78" s="5"/>
      <c r="K78" s="5"/>
      <c r="L78" s="5"/>
      <c r="M78" s="19"/>
    </row>
    <row r="79" spans="1:13" ht="12.75">
      <c r="A79" s="13" t="s">
        <v>150</v>
      </c>
      <c r="B79" s="13">
        <v>10</v>
      </c>
      <c r="C79" s="13" t="s">
        <v>49</v>
      </c>
      <c r="D79" s="13" t="s">
        <v>404</v>
      </c>
      <c r="E79" s="13" t="s">
        <v>53</v>
      </c>
      <c r="F79" s="35" t="str">
        <f t="shared" si="0"/>
        <v>Redesign: KRplny</v>
      </c>
      <c r="H79" s="78"/>
      <c r="I79" s="5"/>
      <c r="J79" s="5"/>
      <c r="K79" s="5"/>
      <c r="L79" s="5"/>
      <c r="M79" s="19"/>
    </row>
    <row r="80" spans="1:13" ht="12.75">
      <c r="A80" s="13" t="s">
        <v>150</v>
      </c>
      <c r="B80" s="13">
        <v>11</v>
      </c>
      <c r="C80" s="13" t="s">
        <v>49</v>
      </c>
      <c r="D80" s="13" t="s">
        <v>412</v>
      </c>
      <c r="E80" s="13" t="s">
        <v>53</v>
      </c>
      <c r="F80" s="35" t="str">
        <f t="shared" si="0"/>
        <v>Redesign: KRplny</v>
      </c>
      <c r="H80" s="78"/>
      <c r="I80" s="5"/>
      <c r="J80" s="5"/>
      <c r="K80" s="5"/>
      <c r="L80" s="5"/>
      <c r="M80" s="19"/>
    </row>
    <row r="81" spans="1:13" ht="12.75">
      <c r="A81" s="13" t="s">
        <v>150</v>
      </c>
      <c r="B81" s="13">
        <v>12</v>
      </c>
      <c r="C81" s="13" t="s">
        <v>49</v>
      </c>
      <c r="D81" s="13" t="s">
        <v>355</v>
      </c>
      <c r="E81" s="13" t="s">
        <v>53</v>
      </c>
      <c r="F81" s="35" t="str">
        <f t="shared" si="0"/>
        <v>Redesign: KRplny</v>
      </c>
      <c r="H81" s="78"/>
      <c r="I81" s="5"/>
      <c r="J81" s="5"/>
      <c r="K81" s="5"/>
      <c r="L81" s="5"/>
      <c r="M81" s="19"/>
    </row>
    <row r="82" spans="1:13" ht="12.75">
      <c r="A82" s="13" t="s">
        <v>150</v>
      </c>
      <c r="B82" s="13">
        <v>13</v>
      </c>
      <c r="C82" s="13" t="s">
        <v>49</v>
      </c>
      <c r="D82" s="13" t="s">
        <v>356</v>
      </c>
      <c r="E82" s="13" t="s">
        <v>53</v>
      </c>
      <c r="F82" s="35" t="str">
        <f t="shared" si="0"/>
        <v>Redesign: KRplny</v>
      </c>
      <c r="H82" s="78"/>
      <c r="I82" s="5"/>
      <c r="J82" s="5"/>
      <c r="K82" s="5"/>
      <c r="L82" s="5"/>
      <c r="M82" s="19"/>
    </row>
    <row r="83" spans="1:13" ht="12.75">
      <c r="A83" s="13" t="s">
        <v>150</v>
      </c>
      <c r="B83" s="13">
        <v>14</v>
      </c>
      <c r="C83" s="13" t="s">
        <v>49</v>
      </c>
      <c r="D83" s="13" t="s">
        <v>358</v>
      </c>
      <c r="E83" s="13" t="s">
        <v>53</v>
      </c>
      <c r="F83" s="35" t="str">
        <f t="shared" si="0"/>
        <v>Redesign: KRplny</v>
      </c>
      <c r="H83" s="78"/>
      <c r="I83" s="5"/>
      <c r="J83" s="5"/>
      <c r="K83" s="5"/>
      <c r="L83" s="5"/>
      <c r="M83" s="19"/>
    </row>
    <row r="84" spans="1:13" ht="12.75">
      <c r="A84" s="13" t="s">
        <v>150</v>
      </c>
      <c r="B84" s="13">
        <v>15</v>
      </c>
      <c r="C84" s="13" t="s">
        <v>49</v>
      </c>
      <c r="D84" s="13" t="s">
        <v>359</v>
      </c>
      <c r="E84" s="13" t="s">
        <v>53</v>
      </c>
      <c r="F84" s="35" t="str">
        <f t="shared" si="0"/>
        <v>Redesign: KRplny</v>
      </c>
      <c r="H84" s="78"/>
      <c r="I84" s="5"/>
      <c r="J84" s="5"/>
      <c r="K84" s="5"/>
      <c r="L84" s="5"/>
      <c r="M84" s="19"/>
    </row>
    <row r="85" spans="1:13" ht="12.75">
      <c r="A85" s="13" t="s">
        <v>150</v>
      </c>
      <c r="B85" s="13">
        <v>16</v>
      </c>
      <c r="C85" s="13" t="s">
        <v>49</v>
      </c>
      <c r="D85" s="13" t="s">
        <v>428</v>
      </c>
      <c r="E85" s="13" t="s">
        <v>53</v>
      </c>
      <c r="F85" s="35" t="str">
        <f t="shared" si="0"/>
        <v>Redesign: KRplny</v>
      </c>
      <c r="H85" s="78"/>
      <c r="I85" s="5"/>
      <c r="J85" s="5"/>
      <c r="K85" s="5"/>
      <c r="L85" s="5"/>
      <c r="M85" s="19"/>
    </row>
    <row r="86" spans="1:13" ht="12.75">
      <c r="A86" s="13" t="s">
        <v>150</v>
      </c>
      <c r="B86" s="13">
        <v>17</v>
      </c>
      <c r="C86" s="13" t="s">
        <v>49</v>
      </c>
      <c r="D86" s="13" t="s">
        <v>429</v>
      </c>
      <c r="E86" s="13" t="s">
        <v>53</v>
      </c>
      <c r="F86" s="35" t="str">
        <f t="shared" si="0"/>
        <v>Redesign: KRplny</v>
      </c>
      <c r="H86" s="78"/>
      <c r="I86" s="5"/>
      <c r="J86" s="5"/>
      <c r="K86" s="5"/>
      <c r="L86" s="5"/>
      <c r="M86" s="19"/>
    </row>
    <row r="87" spans="1:13" ht="12.75">
      <c r="A87" s="13" t="s">
        <v>150</v>
      </c>
      <c r="B87" s="13">
        <v>18</v>
      </c>
      <c r="C87" s="13" t="s">
        <v>49</v>
      </c>
      <c r="D87" s="13" t="s">
        <v>363</v>
      </c>
      <c r="E87" s="13" t="s">
        <v>53</v>
      </c>
      <c r="F87" s="35" t="str">
        <f t="shared" si="0"/>
        <v>Redesign: KRplny</v>
      </c>
      <c r="H87" s="78"/>
      <c r="I87" s="5"/>
      <c r="J87" s="5"/>
      <c r="K87" s="5"/>
      <c r="L87" s="5"/>
      <c r="M87" s="19"/>
    </row>
    <row r="88" spans="1:13" ht="12.75">
      <c r="A88" s="13" t="s">
        <v>150</v>
      </c>
      <c r="B88" s="13">
        <v>19</v>
      </c>
      <c r="C88" s="13" t="s">
        <v>49</v>
      </c>
      <c r="D88" s="13" t="s">
        <v>364</v>
      </c>
      <c r="E88" s="13" t="s">
        <v>53</v>
      </c>
      <c r="F88" s="35" t="str">
        <f t="shared" si="0"/>
        <v>Redesign: KRplny</v>
      </c>
      <c r="H88" s="78"/>
      <c r="I88" s="5"/>
      <c r="J88" s="5"/>
      <c r="K88" s="5"/>
      <c r="L88" s="5"/>
      <c r="M88" s="19"/>
    </row>
    <row r="89" spans="1:13" ht="12.75">
      <c r="A89" s="13" t="s">
        <v>150</v>
      </c>
      <c r="B89" s="13">
        <v>20</v>
      </c>
      <c r="C89" s="13" t="s">
        <v>49</v>
      </c>
      <c r="D89" s="13" t="s">
        <v>365</v>
      </c>
      <c r="E89" s="13" t="s">
        <v>53</v>
      </c>
      <c r="F89" s="35" t="str">
        <f t="shared" si="0"/>
        <v>Redesign: KRplny</v>
      </c>
      <c r="H89" s="78"/>
      <c r="I89" s="5"/>
      <c r="J89" s="5"/>
      <c r="K89" s="5"/>
      <c r="L89" s="5"/>
      <c r="M89" s="19"/>
    </row>
    <row r="90" spans="1:13" ht="12.75">
      <c r="A90" s="13" t="s">
        <v>150</v>
      </c>
      <c r="B90" s="13">
        <v>21</v>
      </c>
      <c r="C90" s="13" t="s">
        <v>49</v>
      </c>
      <c r="D90" s="13" t="s">
        <v>432</v>
      </c>
      <c r="E90" s="13" t="s">
        <v>53</v>
      </c>
      <c r="F90" s="35" t="str">
        <f t="shared" si="0"/>
        <v>Redesign: KRplny</v>
      </c>
      <c r="H90" s="78"/>
      <c r="I90" s="5"/>
      <c r="J90" s="5"/>
      <c r="K90" s="5"/>
      <c r="L90" s="5"/>
      <c r="M90" s="19"/>
    </row>
    <row r="91" spans="1:13" ht="12.75">
      <c r="A91" s="13" t="s">
        <v>150</v>
      </c>
      <c r="B91" s="13">
        <v>22</v>
      </c>
      <c r="C91" s="13" t="s">
        <v>49</v>
      </c>
      <c r="D91" s="13" t="s">
        <v>367</v>
      </c>
      <c r="E91" s="13" t="s">
        <v>53</v>
      </c>
      <c r="F91" s="35" t="str">
        <f t="shared" si="0"/>
        <v>Redesign: KRplny</v>
      </c>
      <c r="H91" s="78"/>
      <c r="I91" s="5"/>
      <c r="J91" s="5"/>
      <c r="K91" s="5"/>
      <c r="L91" s="5"/>
      <c r="M91" s="19"/>
    </row>
    <row r="92" spans="1:13" ht="12.75">
      <c r="A92" s="13" t="s">
        <v>150</v>
      </c>
      <c r="B92" s="13">
        <v>23</v>
      </c>
      <c r="C92" s="13" t="s">
        <v>49</v>
      </c>
      <c r="D92" s="13" t="s">
        <v>368</v>
      </c>
      <c r="E92" s="13" t="s">
        <v>53</v>
      </c>
      <c r="F92" s="35" t="str">
        <f t="shared" si="0"/>
        <v>Redesign: KRplny</v>
      </c>
      <c r="H92" s="78"/>
      <c r="I92" s="5"/>
      <c r="J92" s="5"/>
      <c r="K92" s="5"/>
      <c r="L92" s="5"/>
      <c r="M92" s="19"/>
    </row>
    <row r="93" spans="1:13" ht="12.75">
      <c r="A93" s="13" t="s">
        <v>150</v>
      </c>
      <c r="B93" s="13">
        <v>24</v>
      </c>
      <c r="C93" s="13" t="s">
        <v>49</v>
      </c>
      <c r="D93" s="13" t="s">
        <v>369</v>
      </c>
      <c r="E93" s="13" t="s">
        <v>53</v>
      </c>
      <c r="F93" s="35" t="str">
        <f t="shared" si="0"/>
        <v>Redesign: KRplny</v>
      </c>
      <c r="H93" s="78"/>
      <c r="I93" s="5"/>
      <c r="J93" s="5"/>
      <c r="K93" s="5"/>
      <c r="L93" s="5"/>
      <c r="M93" s="19"/>
    </row>
    <row r="94" spans="1:13" ht="12.75">
      <c r="A94" s="13" t="s">
        <v>150</v>
      </c>
      <c r="B94" s="13">
        <v>25</v>
      </c>
      <c r="C94" s="13" t="s">
        <v>49</v>
      </c>
      <c r="D94" s="13" t="s">
        <v>436</v>
      </c>
      <c r="E94" s="13" t="s">
        <v>53</v>
      </c>
      <c r="F94" s="35" t="str">
        <f t="shared" si="0"/>
        <v>Redesign: KRplny</v>
      </c>
      <c r="H94" s="78"/>
      <c r="I94" s="5"/>
      <c r="J94" s="5"/>
      <c r="K94" s="5"/>
      <c r="L94" s="5"/>
      <c r="M94" s="19"/>
    </row>
    <row r="95" spans="1:13" ht="12.75">
      <c r="A95" s="13" t="s">
        <v>150</v>
      </c>
      <c r="B95" s="13">
        <v>26</v>
      </c>
      <c r="C95" s="13" t="s">
        <v>49</v>
      </c>
      <c r="D95" s="13" t="s">
        <v>372</v>
      </c>
      <c r="E95" s="13" t="s">
        <v>53</v>
      </c>
      <c r="F95" s="35" t="str">
        <f t="shared" si="0"/>
        <v>Redesign: KRplny</v>
      </c>
      <c r="H95" s="78"/>
      <c r="I95" s="5"/>
      <c r="J95" s="5"/>
      <c r="K95" s="5"/>
      <c r="L95" s="5"/>
      <c r="M95" s="19"/>
    </row>
    <row r="96" spans="1:13" ht="12.75">
      <c r="A96" s="13" t="s">
        <v>150</v>
      </c>
      <c r="B96" s="13">
        <v>27</v>
      </c>
      <c r="C96" s="13" t="s">
        <v>49</v>
      </c>
      <c r="D96" s="13" t="s">
        <v>439</v>
      </c>
      <c r="E96" s="13" t="s">
        <v>53</v>
      </c>
      <c r="F96" s="35" t="str">
        <f t="shared" si="0"/>
        <v>Redesign: KRplny</v>
      </c>
      <c r="H96" s="78"/>
      <c r="I96" s="5"/>
      <c r="J96" s="5"/>
      <c r="K96" s="5"/>
      <c r="L96" s="5"/>
      <c r="M96" s="19"/>
    </row>
    <row r="97" spans="1:13" ht="12.75">
      <c r="A97" s="13" t="s">
        <v>150</v>
      </c>
      <c r="B97" s="13">
        <v>28</v>
      </c>
      <c r="C97" s="13" t="s">
        <v>49</v>
      </c>
      <c r="D97" s="13" t="s">
        <v>377</v>
      </c>
      <c r="E97" s="13" t="s">
        <v>53</v>
      </c>
      <c r="F97" s="35" t="str">
        <f t="shared" si="0"/>
        <v>Redesign: KRplny</v>
      </c>
      <c r="H97" s="78"/>
      <c r="I97" s="5"/>
      <c r="J97" s="5"/>
      <c r="K97" s="5"/>
      <c r="L97" s="5"/>
      <c r="M97" s="19"/>
    </row>
    <row r="98" spans="1:13" ht="12.75">
      <c r="A98" s="13" t="s">
        <v>150</v>
      </c>
      <c r="B98" s="13">
        <v>29</v>
      </c>
      <c r="C98" s="13" t="s">
        <v>49</v>
      </c>
      <c r="D98" s="13" t="s">
        <v>378</v>
      </c>
      <c r="E98" s="13" t="s">
        <v>53</v>
      </c>
      <c r="F98" s="35" t="str">
        <f t="shared" si="0"/>
        <v>Redesign: KRplny</v>
      </c>
      <c r="H98" s="78"/>
      <c r="I98" s="5"/>
      <c r="J98" s="5"/>
      <c r="K98" s="5"/>
      <c r="L98" s="5"/>
      <c r="M98" s="19"/>
    </row>
    <row r="99" spans="1:13" ht="12.75">
      <c r="A99" s="13" t="s">
        <v>64</v>
      </c>
      <c r="B99" s="13">
        <v>1</v>
      </c>
      <c r="C99" s="13" t="s">
        <v>49</v>
      </c>
      <c r="D99" s="13" t="s">
        <v>452</v>
      </c>
      <c r="E99" s="13" t="s">
        <v>297</v>
      </c>
      <c r="F99" s="35" t="str">
        <f t="shared" si="0"/>
        <v>Redesign: BRplnn</v>
      </c>
      <c r="H99" s="78"/>
      <c r="I99" s="5"/>
      <c r="J99" s="5"/>
      <c r="K99" s="5"/>
      <c r="L99" s="5"/>
      <c r="M99" s="19"/>
    </row>
    <row r="100" spans="1:13" ht="12.75">
      <c r="A100" s="13" t="s">
        <v>64</v>
      </c>
      <c r="B100" s="13">
        <v>2</v>
      </c>
      <c r="C100" s="13" t="s">
        <v>49</v>
      </c>
      <c r="D100" s="13" t="s">
        <v>471</v>
      </c>
      <c r="E100" s="13" t="s">
        <v>297</v>
      </c>
      <c r="F100" s="35" t="str">
        <f t="shared" si="0"/>
        <v>Redesign: BRplnn</v>
      </c>
      <c r="H100" s="78"/>
      <c r="I100" s="5"/>
      <c r="J100" s="5"/>
      <c r="K100" s="5"/>
      <c r="L100" s="5"/>
      <c r="M100" s="19"/>
    </row>
    <row r="101" spans="1:13" ht="12.75">
      <c r="A101" s="13" t="s">
        <v>64</v>
      </c>
      <c r="B101" s="13">
        <v>3</v>
      </c>
      <c r="C101" s="13" t="s">
        <v>49</v>
      </c>
      <c r="D101" s="13" t="s">
        <v>472</v>
      </c>
      <c r="E101" s="13" t="s">
        <v>297</v>
      </c>
      <c r="F101" s="35" t="str">
        <f t="shared" si="0"/>
        <v>Redesign: BRplnn</v>
      </c>
      <c r="H101" s="78"/>
      <c r="I101" s="5"/>
      <c r="J101" s="5"/>
      <c r="K101" s="5"/>
      <c r="L101" s="5"/>
      <c r="M101" s="19"/>
    </row>
    <row r="102" spans="1:13" ht="12.75">
      <c r="A102" s="13" t="s">
        <v>64</v>
      </c>
      <c r="B102" s="13">
        <v>4</v>
      </c>
      <c r="C102" s="13" t="s">
        <v>49</v>
      </c>
      <c r="D102" s="13" t="s">
        <v>473</v>
      </c>
      <c r="E102" s="13" t="s">
        <v>297</v>
      </c>
      <c r="F102" s="35" t="str">
        <f t="shared" si="0"/>
        <v>Redesign: BRplnn</v>
      </c>
      <c r="H102" s="78"/>
      <c r="I102" s="5"/>
      <c r="J102" s="5"/>
      <c r="K102" s="5"/>
      <c r="L102" s="5"/>
      <c r="M102" s="19"/>
    </row>
    <row r="103" spans="1:13" ht="12.75">
      <c r="A103" s="13" t="s">
        <v>64</v>
      </c>
      <c r="B103" s="13">
        <v>5</v>
      </c>
      <c r="C103" s="13" t="s">
        <v>49</v>
      </c>
      <c r="D103" s="13" t="s">
        <v>474</v>
      </c>
      <c r="E103" s="13" t="s">
        <v>297</v>
      </c>
      <c r="F103" s="35" t="str">
        <f t="shared" si="0"/>
        <v>Redesign: BRplnn</v>
      </c>
      <c r="H103" s="78"/>
      <c r="I103" s="5"/>
      <c r="J103" s="5"/>
      <c r="K103" s="5"/>
      <c r="L103" s="5"/>
      <c r="M103" s="19"/>
    </row>
    <row r="104" spans="1:13" ht="12.75">
      <c r="A104" s="13" t="s">
        <v>64</v>
      </c>
      <c r="B104" s="13">
        <v>6</v>
      </c>
      <c r="C104" s="13" t="s">
        <v>49</v>
      </c>
      <c r="D104" s="13" t="s">
        <v>475</v>
      </c>
      <c r="E104" s="13" t="s">
        <v>297</v>
      </c>
      <c r="F104" s="35" t="str">
        <f t="shared" si="0"/>
        <v>Redesign: BRplnn</v>
      </c>
      <c r="H104" s="78"/>
      <c r="I104" s="5"/>
      <c r="J104" s="5"/>
      <c r="K104" s="5"/>
      <c r="L104" s="5"/>
      <c r="M104" s="19"/>
    </row>
    <row r="105" spans="1:13" ht="12.75">
      <c r="A105" s="13" t="s">
        <v>64</v>
      </c>
      <c r="B105" s="13">
        <v>7</v>
      </c>
      <c r="C105" s="13" t="s">
        <v>49</v>
      </c>
      <c r="D105" s="13" t="s">
        <v>477</v>
      </c>
      <c r="E105" s="13" t="s">
        <v>297</v>
      </c>
      <c r="F105" s="35" t="str">
        <f t="shared" si="0"/>
        <v>Redesign: BRplnn</v>
      </c>
      <c r="H105" s="78"/>
      <c r="I105" s="5"/>
      <c r="J105" s="5"/>
      <c r="K105" s="5"/>
      <c r="L105" s="5"/>
      <c r="M105" s="19"/>
    </row>
    <row r="106" spans="1:13" ht="12.75">
      <c r="A106" s="13" t="s">
        <v>64</v>
      </c>
      <c r="B106" s="13">
        <v>8</v>
      </c>
      <c r="C106" s="13" t="s">
        <v>49</v>
      </c>
      <c r="D106" s="13" t="s">
        <v>481</v>
      </c>
      <c r="E106" s="13" t="s">
        <v>297</v>
      </c>
      <c r="F106" s="35" t="str">
        <f t="shared" si="0"/>
        <v>Redesign: BRplnn</v>
      </c>
      <c r="H106" s="78"/>
      <c r="I106" s="5"/>
      <c r="J106" s="5"/>
      <c r="K106" s="5"/>
      <c r="L106" s="5"/>
      <c r="M106" s="19"/>
    </row>
    <row r="107" spans="1:13" ht="12.75">
      <c r="A107" s="13" t="s">
        <v>64</v>
      </c>
      <c r="B107" s="13">
        <v>9</v>
      </c>
      <c r="C107" s="13" t="s">
        <v>49</v>
      </c>
      <c r="D107" s="13" t="s">
        <v>351</v>
      </c>
      <c r="E107" s="13" t="s">
        <v>297</v>
      </c>
      <c r="F107" s="35" t="str">
        <f t="shared" si="0"/>
        <v>Redesign: BRplnn</v>
      </c>
      <c r="H107" s="78"/>
      <c r="I107" s="5"/>
      <c r="J107" s="5"/>
      <c r="K107" s="5"/>
      <c r="L107" s="5"/>
      <c r="M107" s="19"/>
    </row>
    <row r="108" spans="1:13" ht="12.75">
      <c r="A108" s="13" t="s">
        <v>64</v>
      </c>
      <c r="B108" s="13">
        <v>10</v>
      </c>
      <c r="C108" s="13" t="s">
        <v>49</v>
      </c>
      <c r="D108" s="13" t="s">
        <v>486</v>
      </c>
      <c r="E108" s="13" t="s">
        <v>297</v>
      </c>
      <c r="F108" s="35" t="str">
        <f t="shared" si="0"/>
        <v>Redesign: BRplnn</v>
      </c>
      <c r="H108" s="78"/>
      <c r="I108" s="5"/>
      <c r="J108" s="5"/>
      <c r="K108" s="5"/>
      <c r="L108" s="5"/>
      <c r="M108" s="19"/>
    </row>
    <row r="109" spans="1:13" ht="12.75">
      <c r="A109" s="13" t="s">
        <v>64</v>
      </c>
      <c r="B109" s="13">
        <v>11</v>
      </c>
      <c r="C109" s="13" t="s">
        <v>49</v>
      </c>
      <c r="D109" s="13" t="s">
        <v>492</v>
      </c>
      <c r="E109" s="13" t="s">
        <v>297</v>
      </c>
      <c r="F109" s="35" t="str">
        <f t="shared" si="0"/>
        <v>Redesign: BRplnn</v>
      </c>
      <c r="H109" s="78"/>
      <c r="I109" s="5"/>
      <c r="J109" s="5"/>
      <c r="K109" s="5"/>
      <c r="L109" s="5"/>
      <c r="M109" s="19"/>
    </row>
    <row r="110" spans="1:13" ht="12.75">
      <c r="A110" s="13" t="s">
        <v>64</v>
      </c>
      <c r="B110" s="13">
        <v>12</v>
      </c>
      <c r="C110" s="13" t="s">
        <v>49</v>
      </c>
      <c r="D110" s="13" t="s">
        <v>355</v>
      </c>
      <c r="E110" s="13" t="s">
        <v>297</v>
      </c>
      <c r="F110" s="35" t="str">
        <f t="shared" si="0"/>
        <v>Redesign: BRplnn</v>
      </c>
      <c r="H110" s="78"/>
      <c r="I110" s="5"/>
      <c r="J110" s="5"/>
      <c r="K110" s="5"/>
      <c r="L110" s="5"/>
      <c r="M110" s="19"/>
    </row>
    <row r="111" spans="1:13" ht="12.75">
      <c r="A111" s="13" t="s">
        <v>64</v>
      </c>
      <c r="B111" s="13">
        <v>13</v>
      </c>
      <c r="C111" s="13" t="s">
        <v>49</v>
      </c>
      <c r="D111" s="13" t="s">
        <v>356</v>
      </c>
      <c r="E111" s="13" t="s">
        <v>297</v>
      </c>
      <c r="F111" s="35" t="str">
        <f t="shared" si="0"/>
        <v>Redesign: BRplnn</v>
      </c>
      <c r="H111" s="78"/>
      <c r="I111" s="5"/>
      <c r="J111" s="5"/>
      <c r="K111" s="5"/>
      <c r="L111" s="5"/>
      <c r="M111" s="19"/>
    </row>
    <row r="112" spans="1:13" ht="12.75">
      <c r="A112" s="13" t="s">
        <v>64</v>
      </c>
      <c r="B112" s="13">
        <v>14</v>
      </c>
      <c r="C112" s="13" t="s">
        <v>49</v>
      </c>
      <c r="D112" s="13" t="s">
        <v>358</v>
      </c>
      <c r="E112" s="13" t="s">
        <v>297</v>
      </c>
      <c r="F112" s="35" t="str">
        <f t="shared" si="0"/>
        <v>Redesign: BRplnn</v>
      </c>
      <c r="H112" s="78"/>
      <c r="I112" s="5"/>
      <c r="J112" s="5"/>
      <c r="K112" s="5"/>
      <c r="L112" s="5"/>
      <c r="M112" s="19"/>
    </row>
    <row r="113" spans="1:13" ht="12.75">
      <c r="A113" s="13" t="s">
        <v>64</v>
      </c>
      <c r="B113" s="13">
        <v>15</v>
      </c>
      <c r="C113" s="13" t="s">
        <v>49</v>
      </c>
      <c r="D113" s="13" t="s">
        <v>359</v>
      </c>
      <c r="E113" s="13" t="s">
        <v>297</v>
      </c>
      <c r="F113" s="35" t="str">
        <f t="shared" si="0"/>
        <v>Redesign: BRplnn</v>
      </c>
      <c r="H113" s="78"/>
      <c r="I113" s="5"/>
      <c r="J113" s="5"/>
      <c r="K113" s="5"/>
      <c r="L113" s="5"/>
      <c r="M113" s="19"/>
    </row>
    <row r="114" spans="1:13" ht="12.75">
      <c r="A114" s="13" t="s">
        <v>64</v>
      </c>
      <c r="B114" s="13">
        <v>16</v>
      </c>
      <c r="C114" s="13" t="s">
        <v>49</v>
      </c>
      <c r="D114" s="13" t="s">
        <v>497</v>
      </c>
      <c r="E114" s="13" t="s">
        <v>297</v>
      </c>
      <c r="F114" s="35" t="str">
        <f t="shared" si="0"/>
        <v>Redesign: BRplnn</v>
      </c>
      <c r="H114" s="78"/>
      <c r="I114" s="5"/>
      <c r="J114" s="5"/>
      <c r="K114" s="5"/>
      <c r="L114" s="5"/>
      <c r="M114" s="19"/>
    </row>
    <row r="115" spans="1:13" ht="12.75">
      <c r="A115" s="13" t="s">
        <v>64</v>
      </c>
      <c r="B115" s="13">
        <v>17</v>
      </c>
      <c r="C115" s="13" t="s">
        <v>49</v>
      </c>
      <c r="D115" s="13" t="s">
        <v>498</v>
      </c>
      <c r="E115" s="13" t="s">
        <v>297</v>
      </c>
      <c r="F115" s="35" t="str">
        <f t="shared" si="0"/>
        <v>Redesign: BRplnn</v>
      </c>
      <c r="H115" s="78"/>
      <c r="I115" s="5"/>
      <c r="J115" s="5"/>
      <c r="K115" s="5"/>
      <c r="L115" s="5"/>
      <c r="M115" s="19"/>
    </row>
    <row r="116" spans="1:13" ht="12.75">
      <c r="A116" s="13" t="s">
        <v>64</v>
      </c>
      <c r="B116" s="13">
        <v>18</v>
      </c>
      <c r="C116" s="13" t="s">
        <v>49</v>
      </c>
      <c r="D116" s="13" t="s">
        <v>363</v>
      </c>
      <c r="E116" s="13" t="s">
        <v>297</v>
      </c>
      <c r="F116" s="35" t="str">
        <f t="shared" si="0"/>
        <v>Redesign: BRplnn</v>
      </c>
      <c r="H116" s="78"/>
      <c r="I116" s="5"/>
      <c r="J116" s="5"/>
      <c r="K116" s="5"/>
      <c r="L116" s="5"/>
      <c r="M116" s="19"/>
    </row>
    <row r="117" spans="1:13" ht="12.75">
      <c r="A117" s="13" t="s">
        <v>64</v>
      </c>
      <c r="B117" s="13">
        <v>19</v>
      </c>
      <c r="C117" s="13" t="s">
        <v>49</v>
      </c>
      <c r="D117" s="13" t="s">
        <v>364</v>
      </c>
      <c r="E117" s="13" t="s">
        <v>297</v>
      </c>
      <c r="F117" s="35" t="str">
        <f t="shared" si="0"/>
        <v>Redesign: BRplnn</v>
      </c>
      <c r="H117" s="78"/>
      <c r="I117" s="5"/>
      <c r="J117" s="5"/>
      <c r="K117" s="5"/>
      <c r="L117" s="5"/>
      <c r="M117" s="19"/>
    </row>
    <row r="118" spans="1:13" ht="12.75">
      <c r="A118" s="13" t="s">
        <v>64</v>
      </c>
      <c r="B118" s="13">
        <v>20</v>
      </c>
      <c r="C118" s="13" t="s">
        <v>49</v>
      </c>
      <c r="D118" s="13" t="s">
        <v>365</v>
      </c>
      <c r="E118" s="13" t="s">
        <v>297</v>
      </c>
      <c r="F118" s="35" t="str">
        <f t="shared" si="0"/>
        <v>Redesign: BRplnn</v>
      </c>
      <c r="H118" s="78"/>
      <c r="I118" s="5"/>
      <c r="J118" s="5"/>
      <c r="K118" s="5"/>
      <c r="L118" s="5"/>
      <c r="M118" s="19"/>
    </row>
    <row r="119" spans="1:13" ht="12.75">
      <c r="A119" s="13" t="s">
        <v>64</v>
      </c>
      <c r="B119" s="13">
        <v>21</v>
      </c>
      <c r="C119" s="13" t="s">
        <v>49</v>
      </c>
      <c r="D119" s="13" t="s">
        <v>501</v>
      </c>
      <c r="E119" s="13" t="s">
        <v>297</v>
      </c>
      <c r="F119" s="35" t="str">
        <f t="shared" si="0"/>
        <v>Redesign: BRplnn</v>
      </c>
      <c r="H119" s="78"/>
      <c r="I119" s="5"/>
      <c r="J119" s="5"/>
      <c r="K119" s="5"/>
      <c r="L119" s="5"/>
      <c r="M119" s="19"/>
    </row>
    <row r="120" spans="1:13" ht="12.75">
      <c r="A120" s="13" t="s">
        <v>64</v>
      </c>
      <c r="B120" s="13">
        <v>22</v>
      </c>
      <c r="C120" s="13" t="s">
        <v>49</v>
      </c>
      <c r="D120" s="13" t="s">
        <v>367</v>
      </c>
      <c r="E120" s="13" t="s">
        <v>297</v>
      </c>
      <c r="F120" s="35" t="str">
        <f t="shared" si="0"/>
        <v>Redesign: BRplnn</v>
      </c>
      <c r="H120" s="78"/>
      <c r="I120" s="5"/>
      <c r="J120" s="5"/>
      <c r="K120" s="5"/>
      <c r="L120" s="5"/>
      <c r="M120" s="19"/>
    </row>
    <row r="121" spans="1:13" ht="12.75">
      <c r="A121" s="13" t="s">
        <v>64</v>
      </c>
      <c r="B121" s="13">
        <v>23</v>
      </c>
      <c r="C121" s="13" t="s">
        <v>49</v>
      </c>
      <c r="D121" s="13" t="s">
        <v>368</v>
      </c>
      <c r="E121" s="13" t="s">
        <v>297</v>
      </c>
      <c r="F121" s="35" t="str">
        <f t="shared" si="0"/>
        <v>Redesign: BRplnn</v>
      </c>
      <c r="H121" s="78"/>
      <c r="I121" s="5"/>
      <c r="J121" s="5"/>
      <c r="K121" s="5"/>
      <c r="L121" s="5"/>
      <c r="M121" s="19"/>
    </row>
    <row r="122" spans="1:13" ht="12.75">
      <c r="A122" s="13" t="s">
        <v>64</v>
      </c>
      <c r="B122" s="13">
        <v>24</v>
      </c>
      <c r="C122" s="13" t="s">
        <v>49</v>
      </c>
      <c r="D122" s="13" t="s">
        <v>369</v>
      </c>
      <c r="E122" s="13" t="s">
        <v>297</v>
      </c>
      <c r="F122" s="35" t="str">
        <f t="shared" si="0"/>
        <v>Redesign: BRplnn</v>
      </c>
      <c r="H122" s="78"/>
      <c r="I122" s="5"/>
      <c r="J122" s="5"/>
      <c r="K122" s="5"/>
      <c r="L122" s="5"/>
      <c r="M122" s="19"/>
    </row>
    <row r="123" spans="1:13" ht="12.75">
      <c r="A123" s="13" t="s">
        <v>64</v>
      </c>
      <c r="B123" s="13">
        <v>25</v>
      </c>
      <c r="C123" s="13" t="s">
        <v>49</v>
      </c>
      <c r="D123" s="13" t="s">
        <v>436</v>
      </c>
      <c r="E123" s="13" t="s">
        <v>297</v>
      </c>
      <c r="F123" s="35" t="str">
        <f t="shared" si="0"/>
        <v>Redesign: BRplnn</v>
      </c>
      <c r="H123" s="78"/>
      <c r="I123" s="5"/>
      <c r="J123" s="5"/>
      <c r="K123" s="5"/>
      <c r="L123" s="5"/>
      <c r="M123" s="19"/>
    </row>
    <row r="124" spans="1:13" ht="12.75">
      <c r="A124" s="13" t="s">
        <v>64</v>
      </c>
      <c r="B124" s="13">
        <v>26</v>
      </c>
      <c r="C124" s="13" t="s">
        <v>49</v>
      </c>
      <c r="D124" s="13" t="s">
        <v>372</v>
      </c>
      <c r="E124" s="13" t="s">
        <v>297</v>
      </c>
      <c r="F124" s="35" t="str">
        <f t="shared" si="0"/>
        <v>Redesign: BRplnn</v>
      </c>
      <c r="H124" s="78"/>
      <c r="I124" s="5"/>
      <c r="J124" s="5"/>
      <c r="K124" s="5"/>
      <c r="L124" s="5"/>
      <c r="M124" s="19"/>
    </row>
    <row r="125" spans="1:13" ht="12.75">
      <c r="A125" s="13" t="s">
        <v>64</v>
      </c>
      <c r="B125" s="13">
        <v>27</v>
      </c>
      <c r="C125" s="13" t="s">
        <v>49</v>
      </c>
      <c r="D125" s="13" t="s">
        <v>505</v>
      </c>
      <c r="E125" s="13" t="s">
        <v>297</v>
      </c>
      <c r="F125" s="35" t="str">
        <f t="shared" si="0"/>
        <v>Redesign: BRplnn</v>
      </c>
      <c r="H125" s="78"/>
      <c r="I125" s="5"/>
      <c r="J125" s="5"/>
      <c r="K125" s="5"/>
      <c r="L125" s="5"/>
      <c r="M125" s="19"/>
    </row>
    <row r="126" spans="1:13" ht="12.75">
      <c r="A126" s="13" t="s">
        <v>64</v>
      </c>
      <c r="B126" s="13">
        <v>28</v>
      </c>
      <c r="C126" s="13" t="s">
        <v>49</v>
      </c>
      <c r="D126" s="13" t="s">
        <v>377</v>
      </c>
      <c r="E126" s="13" t="s">
        <v>297</v>
      </c>
      <c r="F126" s="35" t="str">
        <f t="shared" si="0"/>
        <v>Redesign: BRplnn</v>
      </c>
      <c r="H126" s="78"/>
      <c r="I126" s="5"/>
      <c r="J126" s="5"/>
      <c r="K126" s="5"/>
      <c r="L126" s="5"/>
      <c r="M126" s="19"/>
    </row>
    <row r="127" spans="1:13" ht="12.75">
      <c r="A127" s="13" t="s">
        <v>64</v>
      </c>
      <c r="B127" s="13">
        <v>29</v>
      </c>
      <c r="C127" s="13" t="s">
        <v>49</v>
      </c>
      <c r="D127" s="13" t="s">
        <v>378</v>
      </c>
      <c r="E127" s="13" t="s">
        <v>297</v>
      </c>
      <c r="F127" s="35" t="str">
        <f t="shared" si="0"/>
        <v>Redesign: BRplnn</v>
      </c>
      <c r="H127" s="78"/>
      <c r="I127" s="5"/>
      <c r="J127" s="5"/>
      <c r="K127" s="5"/>
      <c r="L127" s="5"/>
      <c r="M127" s="19"/>
    </row>
    <row r="128" spans="1:13" ht="12.75">
      <c r="A128" s="13" t="s">
        <v>275</v>
      </c>
      <c r="B128" s="13">
        <v>1</v>
      </c>
      <c r="C128" s="13" t="s">
        <v>49</v>
      </c>
      <c r="D128" s="13" t="s">
        <v>509</v>
      </c>
      <c r="E128" s="13" t="s">
        <v>297</v>
      </c>
      <c r="F128" s="35" t="str">
        <f t="shared" si="0"/>
        <v>Cart Updates, Phase Iplnn</v>
      </c>
      <c r="H128" s="78"/>
      <c r="I128" s="5"/>
      <c r="J128" s="5"/>
      <c r="K128" s="5"/>
      <c r="L128" s="5"/>
      <c r="M128" s="19"/>
    </row>
    <row r="129" spans="1:13" ht="12.75">
      <c r="A129" s="13" t="s">
        <v>275</v>
      </c>
      <c r="B129" s="13">
        <v>2</v>
      </c>
      <c r="C129" s="13" t="s">
        <v>49</v>
      </c>
      <c r="D129" s="13" t="s">
        <v>511</v>
      </c>
      <c r="E129" s="13" t="s">
        <v>297</v>
      </c>
      <c r="F129" s="35" t="str">
        <f t="shared" si="0"/>
        <v>Cart Updates, Phase Iplnn</v>
      </c>
      <c r="H129" s="78"/>
      <c r="I129" s="5"/>
      <c r="J129" s="5"/>
      <c r="K129" s="5"/>
      <c r="L129" s="5"/>
      <c r="M129" s="19"/>
    </row>
    <row r="130" spans="1:13" ht="12.75">
      <c r="A130" s="13" t="s">
        <v>275</v>
      </c>
      <c r="B130" s="13">
        <v>3</v>
      </c>
      <c r="C130" s="13" t="s">
        <v>49</v>
      </c>
      <c r="D130" s="13" t="s">
        <v>514</v>
      </c>
      <c r="E130" s="13" t="s">
        <v>297</v>
      </c>
      <c r="F130" s="35" t="str">
        <f t="shared" si="0"/>
        <v>Cart Updates, Phase Iplnn</v>
      </c>
      <c r="H130" s="78"/>
      <c r="I130" s="5"/>
      <c r="J130" s="5"/>
      <c r="K130" s="5"/>
      <c r="L130" s="5"/>
      <c r="M130" s="19"/>
    </row>
    <row r="131" spans="1:13" ht="12.75">
      <c r="A131" s="13" t="s">
        <v>275</v>
      </c>
      <c r="B131" s="13">
        <v>4</v>
      </c>
      <c r="C131" s="13" t="s">
        <v>49</v>
      </c>
      <c r="D131" s="13" t="s">
        <v>516</v>
      </c>
      <c r="E131" s="13" t="s">
        <v>297</v>
      </c>
      <c r="F131" s="35" t="str">
        <f t="shared" si="0"/>
        <v>Cart Updates, Phase Iplnn</v>
      </c>
      <c r="H131" s="78"/>
      <c r="I131" s="5"/>
      <c r="J131" s="5"/>
      <c r="K131" s="5"/>
      <c r="L131" s="5"/>
      <c r="M131" s="19"/>
    </row>
    <row r="132" spans="1:13" ht="12.75">
      <c r="A132" s="13" t="s">
        <v>275</v>
      </c>
      <c r="B132" s="13">
        <v>5</v>
      </c>
      <c r="C132" s="13" t="s">
        <v>49</v>
      </c>
      <c r="D132" s="13" t="s">
        <v>517</v>
      </c>
      <c r="E132" s="13" t="s">
        <v>297</v>
      </c>
      <c r="F132" s="35" t="str">
        <f t="shared" si="0"/>
        <v>Cart Updates, Phase Iplnn</v>
      </c>
      <c r="H132" s="78"/>
      <c r="I132" s="5"/>
      <c r="J132" s="5"/>
      <c r="K132" s="5"/>
      <c r="L132" s="5"/>
      <c r="M132" s="19"/>
    </row>
    <row r="133" spans="1:13" ht="12.75">
      <c r="A133" s="13" t="s">
        <v>275</v>
      </c>
      <c r="B133" s="13">
        <v>6</v>
      </c>
      <c r="C133" s="13" t="s">
        <v>49</v>
      </c>
      <c r="D133" s="13" t="s">
        <v>518</v>
      </c>
      <c r="E133" s="13" t="s">
        <v>297</v>
      </c>
      <c r="F133" s="35" t="str">
        <f t="shared" si="0"/>
        <v>Cart Updates, Phase Iplnn</v>
      </c>
      <c r="H133" s="78"/>
      <c r="I133" s="5"/>
      <c r="J133" s="5"/>
      <c r="K133" s="5"/>
      <c r="L133" s="5"/>
      <c r="M133" s="19"/>
    </row>
    <row r="134" spans="1:13" ht="12.75">
      <c r="A134" s="13" t="s">
        <v>281</v>
      </c>
      <c r="B134" s="13">
        <v>1</v>
      </c>
      <c r="C134" s="13" t="s">
        <v>49</v>
      </c>
      <c r="D134" s="13" t="s">
        <v>519</v>
      </c>
      <c r="E134" s="13" t="s">
        <v>297</v>
      </c>
      <c r="F134" s="35" t="str">
        <f t="shared" si="0"/>
        <v>Cart Updates, Phase IIplnn</v>
      </c>
      <c r="H134" s="78"/>
      <c r="I134" s="5"/>
      <c r="J134" s="5"/>
      <c r="K134" s="5"/>
      <c r="L134" s="5"/>
      <c r="M134" s="19"/>
    </row>
    <row r="135" spans="1:13" ht="12.75">
      <c r="A135" s="13" t="s">
        <v>281</v>
      </c>
      <c r="B135" s="13">
        <v>2</v>
      </c>
      <c r="C135" s="13" t="s">
        <v>49</v>
      </c>
      <c r="D135" s="13" t="s">
        <v>520</v>
      </c>
      <c r="E135" s="13" t="s">
        <v>297</v>
      </c>
      <c r="F135" s="35" t="str">
        <f t="shared" si="0"/>
        <v>Cart Updates, Phase IIplnn</v>
      </c>
      <c r="H135" s="78"/>
      <c r="I135" s="5"/>
      <c r="J135" s="5"/>
      <c r="K135" s="5"/>
      <c r="L135" s="5"/>
      <c r="M135" s="19"/>
    </row>
    <row r="136" spans="1:13" ht="12.75">
      <c r="A136" s="13" t="s">
        <v>281</v>
      </c>
      <c r="B136" s="13">
        <v>3</v>
      </c>
      <c r="C136" s="13" t="s">
        <v>49</v>
      </c>
      <c r="D136" s="13" t="s">
        <v>521</v>
      </c>
      <c r="E136" s="13" t="s">
        <v>297</v>
      </c>
      <c r="F136" s="35" t="str">
        <f t="shared" si="0"/>
        <v>Cart Updates, Phase IIplnn</v>
      </c>
      <c r="H136" s="78"/>
      <c r="I136" s="5"/>
      <c r="J136" s="5"/>
      <c r="K136" s="5"/>
      <c r="L136" s="5"/>
      <c r="M136" s="19"/>
    </row>
    <row r="137" spans="1:13" ht="12.75">
      <c r="A137" s="13" t="s">
        <v>281</v>
      </c>
      <c r="B137" s="13">
        <v>4</v>
      </c>
      <c r="C137" s="13" t="s">
        <v>49</v>
      </c>
      <c r="D137" s="13" t="s">
        <v>522</v>
      </c>
      <c r="E137" s="13" t="s">
        <v>297</v>
      </c>
      <c r="F137" s="35" t="str">
        <f t="shared" si="0"/>
        <v>Cart Updates, Phase IIplnn</v>
      </c>
      <c r="H137" s="78"/>
      <c r="I137" s="5"/>
      <c r="J137" s="5"/>
      <c r="K137" s="5"/>
      <c r="L137" s="5"/>
      <c r="M137" s="19"/>
    </row>
    <row r="138" spans="1:13" ht="12.75">
      <c r="A138" s="13" t="s">
        <v>281</v>
      </c>
      <c r="B138" s="13">
        <v>5</v>
      </c>
      <c r="C138" s="13" t="s">
        <v>49</v>
      </c>
      <c r="D138" s="13" t="s">
        <v>523</v>
      </c>
      <c r="E138" s="13" t="s">
        <v>297</v>
      </c>
      <c r="F138" s="35" t="str">
        <f t="shared" si="0"/>
        <v>Cart Updates, Phase IIplnn</v>
      </c>
      <c r="H138" s="78"/>
      <c r="I138" s="5"/>
      <c r="J138" s="5"/>
      <c r="K138" s="5"/>
      <c r="L138" s="5"/>
      <c r="M138" s="19"/>
    </row>
    <row r="139" spans="1:13" ht="12.75">
      <c r="A139" s="13" t="s">
        <v>281</v>
      </c>
      <c r="B139" s="13">
        <v>6</v>
      </c>
      <c r="C139" s="13" t="s">
        <v>49</v>
      </c>
      <c r="D139" s="13" t="s">
        <v>524</v>
      </c>
      <c r="E139" s="13" t="s">
        <v>297</v>
      </c>
      <c r="F139" s="35" t="str">
        <f t="shared" si="0"/>
        <v>Cart Updates, Phase IIplnn</v>
      </c>
      <c r="H139" s="78"/>
      <c r="I139" s="5"/>
      <c r="J139" s="5"/>
      <c r="K139" s="5"/>
      <c r="L139" s="5"/>
      <c r="M139" s="19"/>
    </row>
    <row r="140" spans="1:13" ht="12.75">
      <c r="A140" s="13" t="s">
        <v>281</v>
      </c>
      <c r="B140" s="13">
        <v>7</v>
      </c>
      <c r="C140" s="13" t="s">
        <v>49</v>
      </c>
      <c r="D140" s="13" t="s">
        <v>525</v>
      </c>
      <c r="E140" s="13" t="s">
        <v>297</v>
      </c>
      <c r="F140" s="35" t="str">
        <f t="shared" si="0"/>
        <v>Cart Updates, Phase IIplnn</v>
      </c>
      <c r="H140" s="78"/>
      <c r="I140" s="5"/>
      <c r="J140" s="5"/>
      <c r="K140" s="5"/>
      <c r="L140" s="5"/>
      <c r="M140" s="19"/>
    </row>
    <row r="141" spans="1:13" ht="12.75">
      <c r="A141" s="13" t="s">
        <v>281</v>
      </c>
      <c r="B141" s="13">
        <v>8</v>
      </c>
      <c r="C141" s="13" t="s">
        <v>49</v>
      </c>
      <c r="D141" s="13" t="s">
        <v>529</v>
      </c>
      <c r="E141" s="13" t="s">
        <v>297</v>
      </c>
      <c r="F141" s="35" t="str">
        <f t="shared" si="0"/>
        <v>Cart Updates, Phase IIplnn</v>
      </c>
      <c r="H141" s="78"/>
      <c r="I141" s="5"/>
      <c r="J141" s="5"/>
      <c r="K141" s="5"/>
      <c r="L141" s="5"/>
      <c r="M141" s="19"/>
    </row>
    <row r="142" spans="1:13" ht="12.75">
      <c r="A142" s="13" t="s">
        <v>281</v>
      </c>
      <c r="B142" s="13">
        <v>9</v>
      </c>
      <c r="C142" s="13" t="s">
        <v>49</v>
      </c>
      <c r="D142" s="13" t="s">
        <v>530</v>
      </c>
      <c r="E142" s="13" t="s">
        <v>297</v>
      </c>
      <c r="F142" s="35" t="str">
        <f t="shared" si="0"/>
        <v>Cart Updates, Phase IIplnn</v>
      </c>
      <c r="H142" s="78"/>
      <c r="I142" s="5"/>
      <c r="J142" s="5"/>
      <c r="K142" s="5"/>
      <c r="L142" s="5"/>
      <c r="M142" s="19"/>
    </row>
    <row r="143" spans="1:13" ht="12.75">
      <c r="A143" s="13" t="s">
        <v>284</v>
      </c>
      <c r="B143" s="13">
        <v>1</v>
      </c>
      <c r="C143" s="13" t="s">
        <v>49</v>
      </c>
      <c r="D143" s="13" t="s">
        <v>531</v>
      </c>
      <c r="E143" s="13" t="s">
        <v>297</v>
      </c>
      <c r="F143" s="35" t="str">
        <f t="shared" si="0"/>
        <v>Cart Updates, Phase IIIplnn</v>
      </c>
      <c r="H143" s="78"/>
      <c r="I143" s="5"/>
      <c r="J143" s="5"/>
      <c r="K143" s="5"/>
      <c r="L143" s="5"/>
      <c r="M143" s="19"/>
    </row>
    <row r="144" spans="1:13" ht="12.75">
      <c r="A144" s="13" t="s">
        <v>284</v>
      </c>
      <c r="B144" s="13">
        <v>2</v>
      </c>
      <c r="C144" s="13" t="s">
        <v>49</v>
      </c>
      <c r="D144" s="13" t="s">
        <v>533</v>
      </c>
      <c r="E144" s="13" t="s">
        <v>297</v>
      </c>
      <c r="F144" s="35" t="str">
        <f t="shared" si="0"/>
        <v>Cart Updates, Phase IIIplnn</v>
      </c>
      <c r="H144" s="78"/>
      <c r="I144" s="5"/>
      <c r="J144" s="5"/>
      <c r="K144" s="5"/>
      <c r="L144" s="5"/>
      <c r="M144" s="19"/>
    </row>
    <row r="145" spans="1:13" ht="12.75">
      <c r="A145" s="13" t="s">
        <v>284</v>
      </c>
      <c r="B145" s="13">
        <v>3</v>
      </c>
      <c r="C145" s="13" t="s">
        <v>49</v>
      </c>
      <c r="D145" s="13" t="s">
        <v>535</v>
      </c>
      <c r="E145" s="13" t="s">
        <v>297</v>
      </c>
      <c r="F145" s="35" t="str">
        <f t="shared" si="0"/>
        <v>Cart Updates, Phase IIIplnn</v>
      </c>
      <c r="H145" s="78"/>
      <c r="I145" s="5"/>
      <c r="J145" s="5"/>
      <c r="K145" s="5"/>
      <c r="L145" s="5"/>
      <c r="M145" s="19"/>
    </row>
    <row r="146" spans="1:13" ht="12.75">
      <c r="A146" s="13" t="s">
        <v>284</v>
      </c>
      <c r="B146" s="13">
        <v>4</v>
      </c>
      <c r="C146" s="13" t="s">
        <v>49</v>
      </c>
      <c r="D146" s="13" t="s">
        <v>536</v>
      </c>
      <c r="E146" s="13" t="s">
        <v>297</v>
      </c>
      <c r="F146" s="35" t="str">
        <f t="shared" si="0"/>
        <v>Cart Updates, Phase IIIplnn</v>
      </c>
      <c r="H146" s="78"/>
      <c r="I146" s="5"/>
      <c r="J146" s="5"/>
      <c r="K146" s="5"/>
      <c r="L146" s="5"/>
      <c r="M146" s="19"/>
    </row>
    <row r="147" spans="1:13" ht="12.75">
      <c r="A147" s="13" t="s">
        <v>284</v>
      </c>
      <c r="B147" s="13">
        <v>5</v>
      </c>
      <c r="C147" s="13" t="s">
        <v>49</v>
      </c>
      <c r="D147" s="13" t="s">
        <v>538</v>
      </c>
      <c r="E147" s="13" t="s">
        <v>297</v>
      </c>
      <c r="F147" s="35" t="str">
        <f t="shared" si="0"/>
        <v>Cart Updates, Phase IIIplnn</v>
      </c>
      <c r="H147" s="78"/>
      <c r="I147" s="5"/>
      <c r="J147" s="5"/>
      <c r="K147" s="5"/>
      <c r="L147" s="5"/>
      <c r="M147" s="19"/>
    </row>
    <row r="148" spans="8:13" ht="12.75">
      <c r="H148" s="78"/>
      <c r="I148" s="5"/>
      <c r="J148" s="5"/>
      <c r="K148" s="5"/>
      <c r="L148" s="5"/>
      <c r="M148" s="19"/>
    </row>
    <row r="149" spans="8:13" ht="12.75">
      <c r="H149" s="78"/>
      <c r="I149" s="5"/>
      <c r="J149" s="5"/>
      <c r="K149" s="5"/>
      <c r="L149" s="5"/>
      <c r="M149" s="19"/>
    </row>
    <row r="150" spans="8:13" ht="12.75">
      <c r="H150" s="78"/>
      <c r="I150" s="5"/>
      <c r="J150" s="5"/>
      <c r="K150" s="5"/>
      <c r="L150" s="5"/>
      <c r="M150" s="19"/>
    </row>
    <row r="151" spans="8:13" ht="12.75">
      <c r="H151" s="78"/>
      <c r="I151" s="5"/>
      <c r="J151" s="5"/>
      <c r="K151" s="5"/>
      <c r="L151" s="5"/>
      <c r="M151" s="19"/>
    </row>
    <row r="152" spans="8:13" ht="12.75">
      <c r="H152" s="78"/>
      <c r="I152" s="5"/>
      <c r="J152" s="5"/>
      <c r="K152" s="5"/>
      <c r="L152" s="5"/>
      <c r="M152" s="19"/>
    </row>
    <row r="153" spans="8:13" ht="12.75">
      <c r="H153" s="78"/>
      <c r="I153" s="5"/>
      <c r="J153" s="5"/>
      <c r="K153" s="5"/>
      <c r="L153" s="5"/>
      <c r="M153" s="19"/>
    </row>
    <row r="154" spans="8:13" ht="12.75">
      <c r="H154" s="78"/>
      <c r="I154" s="5"/>
      <c r="J154" s="5"/>
      <c r="K154" s="5"/>
      <c r="L154" s="5"/>
      <c r="M154" s="19"/>
    </row>
    <row r="155" spans="8:13" ht="12.75">
      <c r="H155" s="78"/>
      <c r="I155" s="5"/>
      <c r="J155" s="5"/>
      <c r="K155" s="5"/>
      <c r="L155" s="5"/>
      <c r="M155" s="19"/>
    </row>
    <row r="156" spans="8:13" ht="12.75">
      <c r="H156" s="78"/>
      <c r="I156" s="5"/>
      <c r="J156" s="5"/>
      <c r="K156" s="5"/>
      <c r="L156" s="5"/>
      <c r="M156" s="19"/>
    </row>
    <row r="157" spans="8:13" ht="12.75">
      <c r="H157" s="78"/>
      <c r="I157" s="5"/>
      <c r="J157" s="5"/>
      <c r="K157" s="5"/>
      <c r="L157" s="5"/>
      <c r="M157" s="19"/>
    </row>
    <row r="158" spans="8:13" ht="12.75">
      <c r="H158" s="78"/>
      <c r="I158" s="5"/>
      <c r="J158" s="5"/>
      <c r="K158" s="5"/>
      <c r="L158" s="5"/>
      <c r="M158" s="19"/>
    </row>
    <row r="159" spans="8:13" ht="12.75">
      <c r="H159" s="78"/>
      <c r="I159" s="5"/>
      <c r="J159" s="5"/>
      <c r="K159" s="5"/>
      <c r="L159" s="5"/>
      <c r="M159" s="19"/>
    </row>
    <row r="160" spans="8:13" ht="12.75">
      <c r="H160" s="78"/>
      <c r="I160" s="5"/>
      <c r="J160" s="5"/>
      <c r="K160" s="5"/>
      <c r="L160" s="5"/>
      <c r="M160" s="19"/>
    </row>
    <row r="161" spans="8:13" ht="12.75">
      <c r="H161" s="78"/>
      <c r="I161" s="5"/>
      <c r="J161" s="5"/>
      <c r="K161" s="5"/>
      <c r="L161" s="5"/>
      <c r="M161" s="19"/>
    </row>
    <row r="162" spans="8:13" ht="12.75">
      <c r="H162" s="78"/>
      <c r="I162" s="5"/>
      <c r="J162" s="5"/>
      <c r="K162" s="5"/>
      <c r="L162" s="5"/>
      <c r="M162" s="19"/>
    </row>
    <row r="163" spans="8:13" ht="12.75">
      <c r="H163" s="78"/>
      <c r="I163" s="5"/>
      <c r="J163" s="5"/>
      <c r="K163" s="5"/>
      <c r="L163" s="5"/>
      <c r="M163" s="19"/>
    </row>
    <row r="164" spans="8:13" ht="12.75">
      <c r="H164" s="78"/>
      <c r="I164" s="5"/>
      <c r="J164" s="5"/>
      <c r="K164" s="5"/>
      <c r="L164" s="5"/>
      <c r="M164" s="19"/>
    </row>
    <row r="165" spans="8:13" ht="12.75">
      <c r="H165" s="78"/>
      <c r="I165" s="5"/>
      <c r="J165" s="5"/>
      <c r="K165" s="5"/>
      <c r="L165" s="5"/>
      <c r="M165" s="19"/>
    </row>
    <row r="166" spans="8:13" ht="12.75">
      <c r="H166" s="78"/>
      <c r="I166" s="5"/>
      <c r="J166" s="5"/>
      <c r="K166" s="5"/>
      <c r="L166" s="5"/>
      <c r="M166" s="19"/>
    </row>
    <row r="167" spans="8:13" ht="12.75">
      <c r="H167" s="78"/>
      <c r="I167" s="5"/>
      <c r="J167" s="5"/>
      <c r="K167" s="5"/>
      <c r="L167" s="5"/>
      <c r="M167" s="19"/>
    </row>
    <row r="168" spans="8:13" ht="12.75">
      <c r="H168" s="78"/>
      <c r="I168" s="5"/>
      <c r="J168" s="5"/>
      <c r="K168" s="5"/>
      <c r="L168" s="5"/>
      <c r="M168" s="19"/>
    </row>
    <row r="169" spans="8:13" ht="12.75">
      <c r="H169" s="78"/>
      <c r="I169" s="5"/>
      <c r="J169" s="5"/>
      <c r="K169" s="5"/>
      <c r="L169" s="5"/>
      <c r="M169" s="19"/>
    </row>
    <row r="170" spans="8:13" ht="12.75">
      <c r="H170" s="78"/>
      <c r="I170" s="5"/>
      <c r="J170" s="5"/>
      <c r="K170" s="5"/>
      <c r="L170" s="5"/>
      <c r="M170" s="19"/>
    </row>
    <row r="171" spans="8:13" ht="12.75">
      <c r="H171" s="78"/>
      <c r="I171" s="5"/>
      <c r="J171" s="5"/>
      <c r="K171" s="5"/>
      <c r="L171" s="5"/>
      <c r="M171" s="19"/>
    </row>
    <row r="172" spans="8:13" ht="12.75">
      <c r="H172" s="78"/>
      <c r="I172" s="5"/>
      <c r="J172" s="5"/>
      <c r="K172" s="5"/>
      <c r="L172" s="5"/>
      <c r="M172" s="19"/>
    </row>
    <row r="173" spans="8:13" ht="12.75">
      <c r="H173" s="78"/>
      <c r="I173" s="5"/>
      <c r="J173" s="5"/>
      <c r="K173" s="5"/>
      <c r="L173" s="5"/>
      <c r="M173" s="19"/>
    </row>
    <row r="174" spans="8:13" ht="12.75">
      <c r="H174" s="78"/>
      <c r="I174" s="5"/>
      <c r="J174" s="5"/>
      <c r="K174" s="5"/>
      <c r="L174" s="5"/>
      <c r="M174" s="19"/>
    </row>
    <row r="175" spans="8:13" ht="12.75">
      <c r="H175" s="78"/>
      <c r="I175" s="5"/>
      <c r="J175" s="5"/>
      <c r="K175" s="5"/>
      <c r="L175" s="5"/>
      <c r="M175" s="19"/>
    </row>
    <row r="176" spans="8:13" ht="12.75">
      <c r="H176" s="78"/>
      <c r="I176" s="5"/>
      <c r="J176" s="5"/>
      <c r="K176" s="5"/>
      <c r="L176" s="5"/>
      <c r="M176" s="19"/>
    </row>
    <row r="177" spans="8:13" ht="12.75">
      <c r="H177" s="78"/>
      <c r="I177" s="5"/>
      <c r="J177" s="5"/>
      <c r="K177" s="5"/>
      <c r="L177" s="5"/>
      <c r="M177" s="19"/>
    </row>
    <row r="178" spans="8:13" ht="12.75">
      <c r="H178" s="78"/>
      <c r="I178" s="5"/>
      <c r="J178" s="5"/>
      <c r="K178" s="5"/>
      <c r="L178" s="5"/>
      <c r="M178" s="19"/>
    </row>
    <row r="179" spans="8:13" ht="12.75">
      <c r="H179" s="78"/>
      <c r="I179" s="5"/>
      <c r="J179" s="5"/>
      <c r="K179" s="5"/>
      <c r="L179" s="5"/>
      <c r="M179" s="19"/>
    </row>
    <row r="180" spans="8:13" ht="12.75">
      <c r="H180" s="78"/>
      <c r="I180" s="5"/>
      <c r="J180" s="5"/>
      <c r="K180" s="5"/>
      <c r="L180" s="5"/>
      <c r="M180" s="19"/>
    </row>
    <row r="181" spans="8:13" ht="12.75">
      <c r="H181" s="78"/>
      <c r="I181" s="5"/>
      <c r="J181" s="5"/>
      <c r="K181" s="5"/>
      <c r="L181" s="5"/>
      <c r="M181" s="19"/>
    </row>
    <row r="182" spans="8:13" ht="12.75">
      <c r="H182" s="78"/>
      <c r="I182" s="5"/>
      <c r="J182" s="5"/>
      <c r="K182" s="5"/>
      <c r="L182" s="5"/>
      <c r="M182" s="19"/>
    </row>
    <row r="183" spans="8:13" ht="12.75">
      <c r="H183" s="78"/>
      <c r="I183" s="5"/>
      <c r="J183" s="5"/>
      <c r="K183" s="5"/>
      <c r="L183" s="5"/>
      <c r="M183" s="19"/>
    </row>
    <row r="184" spans="8:13" ht="12.75">
      <c r="H184" s="78"/>
      <c r="I184" s="5"/>
      <c r="J184" s="5"/>
      <c r="K184" s="5"/>
      <c r="L184" s="5"/>
      <c r="M184" s="19"/>
    </row>
    <row r="185" spans="8:13" ht="12.75">
      <c r="H185" s="78"/>
      <c r="I185" s="5"/>
      <c r="J185" s="5"/>
      <c r="K185" s="5"/>
      <c r="L185" s="5"/>
      <c r="M185" s="19"/>
    </row>
    <row r="186" spans="8:13" ht="12.75">
      <c r="H186" s="78"/>
      <c r="I186" s="5"/>
      <c r="J186" s="5"/>
      <c r="K186" s="5"/>
      <c r="L186" s="5"/>
      <c r="M186" s="19"/>
    </row>
    <row r="187" spans="8:13" ht="12.75">
      <c r="H187" s="78"/>
      <c r="I187" s="5"/>
      <c r="J187" s="5"/>
      <c r="K187" s="5"/>
      <c r="L187" s="5"/>
      <c r="M187" s="19"/>
    </row>
    <row r="188" spans="8:13" ht="12.75">
      <c r="H188" s="78"/>
      <c r="I188" s="5"/>
      <c r="J188" s="5"/>
      <c r="K188" s="5"/>
      <c r="L188" s="5"/>
      <c r="M188" s="19"/>
    </row>
    <row r="189" spans="8:13" ht="12.75">
      <c r="H189" s="78"/>
      <c r="I189" s="5"/>
      <c r="J189" s="5"/>
      <c r="K189" s="5"/>
      <c r="L189" s="5"/>
      <c r="M189" s="19"/>
    </row>
    <row r="190" spans="8:13" ht="12.75">
      <c r="H190" s="78"/>
      <c r="I190" s="5"/>
      <c r="J190" s="5"/>
      <c r="K190" s="5"/>
      <c r="L190" s="5"/>
      <c r="M190" s="19"/>
    </row>
    <row r="191" spans="8:13" ht="12.75">
      <c r="H191" s="78"/>
      <c r="I191" s="5"/>
      <c r="J191" s="5"/>
      <c r="K191" s="5"/>
      <c r="L191" s="5"/>
      <c r="M191" s="19"/>
    </row>
  </sheetData>
  <dataValidations count="3">
    <dataValidation type="list" allowBlank="1" sqref="I2:I8 I11:I28 A2:A128">
      <formula1>apm!$K$13:$K$46</formula1>
    </dataValidation>
    <dataValidation type="list" allowBlank="1" sqref="E2:E127">
      <formula1>"y,n"</formula1>
    </dataValidation>
    <dataValidation type="list" allowBlank="1" sqref="C2:C33">
      <formula1>"pln,add"</formula1>
    </dataValidation>
  </dataValidation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S18"/>
  <sheetViews>
    <sheetView workbookViewId="0" topLeftCell="A1">
      <pane ySplit="1" topLeftCell="A2" activePane="bottomLeft" state="frozen"/>
      <selection pane="bottomLeft" activeCell="B3" sqref="B3"/>
    </sheetView>
  </sheetViews>
  <sheetFormatPr defaultColWidth="14.421875" defaultRowHeight="12.75" customHeight="1"/>
  <cols>
    <col min="1" max="2" width="17.28125" style="0" customWidth="1"/>
    <col min="3" max="3" width="19.140625" style="0" customWidth="1"/>
    <col min="4" max="19" width="17.28125" style="0" customWidth="1"/>
  </cols>
  <sheetData>
    <row r="1" spans="1:19" ht="12.75">
      <c r="A1" s="3" t="s">
        <v>43</v>
      </c>
      <c r="B1" s="3" t="s">
        <v>44</v>
      </c>
      <c r="C1" s="3" t="s">
        <v>45</v>
      </c>
      <c r="D1" s="10"/>
      <c r="E1" s="10"/>
      <c r="F1" s="10"/>
      <c r="G1" s="10"/>
      <c r="H1" s="10"/>
      <c r="I1" s="10"/>
      <c r="J1" s="10"/>
      <c r="K1" s="10"/>
      <c r="L1" s="10"/>
      <c r="M1" s="10"/>
      <c r="N1" s="10"/>
      <c r="O1" s="10"/>
      <c r="P1" s="10"/>
      <c r="Q1" s="10"/>
      <c r="R1" s="10"/>
      <c r="S1" s="10"/>
    </row>
    <row r="2" spans="1:3" ht="12.75">
      <c r="A2" s="13" t="s">
        <v>46</v>
      </c>
      <c r="B2" s="13" t="s">
        <v>47</v>
      </c>
      <c r="C2" s="13" t="s">
        <v>48</v>
      </c>
    </row>
    <row r="3" spans="1:3" ht="12.75">
      <c r="A3" s="13" t="s">
        <v>50</v>
      </c>
      <c r="B3" s="13" t="s">
        <v>52</v>
      </c>
      <c r="C3" s="13" t="s">
        <v>48</v>
      </c>
    </row>
    <row r="4" spans="1:3" ht="12.75">
      <c r="A4" s="13" t="s">
        <v>54</v>
      </c>
      <c r="B4" s="13" t="s">
        <v>56</v>
      </c>
      <c r="C4" s="13" t="s">
        <v>48</v>
      </c>
    </row>
    <row r="5" spans="1:3" ht="12.75">
      <c r="A5" s="13" t="s">
        <v>58</v>
      </c>
      <c r="B5" s="13" t="s">
        <v>59</v>
      </c>
      <c r="C5" s="13" t="s">
        <v>48</v>
      </c>
    </row>
    <row r="6" spans="1:3" ht="12.75">
      <c r="A6" s="13" t="s">
        <v>61</v>
      </c>
      <c r="B6" s="15" t="s">
        <v>63</v>
      </c>
      <c r="C6" s="13" t="s">
        <v>48</v>
      </c>
    </row>
    <row r="7" spans="1:3" ht="12.75">
      <c r="A7" s="15" t="s">
        <v>66</v>
      </c>
      <c r="B7" s="15" t="s">
        <v>48</v>
      </c>
      <c r="C7" s="13" t="s">
        <v>48</v>
      </c>
    </row>
    <row r="8" spans="1:3" ht="12.75">
      <c r="A8" s="13" t="s">
        <v>67</v>
      </c>
      <c r="B8" s="13" t="s">
        <v>68</v>
      </c>
      <c r="C8" s="13" t="s">
        <v>68</v>
      </c>
    </row>
    <row r="9" spans="1:3" ht="12.75">
      <c r="A9" s="13" t="s">
        <v>69</v>
      </c>
      <c r="B9" s="13" t="s">
        <v>70</v>
      </c>
      <c r="C9" s="13" t="s">
        <v>70</v>
      </c>
    </row>
    <row r="10" spans="1:3" ht="12.75">
      <c r="A10" s="13" t="s">
        <v>71</v>
      </c>
      <c r="B10" s="13" t="s">
        <v>72</v>
      </c>
      <c r="C10" s="13" t="s">
        <v>72</v>
      </c>
    </row>
    <row r="11" spans="1:3" ht="12.75">
      <c r="A11" s="13" t="s">
        <v>73</v>
      </c>
      <c r="B11" s="13" t="s">
        <v>74</v>
      </c>
      <c r="C11" s="13" t="s">
        <v>75</v>
      </c>
    </row>
    <row r="12" spans="1:3" ht="12.75">
      <c r="A12" s="13" t="s">
        <v>76</v>
      </c>
      <c r="B12" s="13" t="s">
        <v>77</v>
      </c>
      <c r="C12" s="13" t="s">
        <v>75</v>
      </c>
    </row>
    <row r="13" spans="1:3" ht="12.75">
      <c r="A13" s="13" t="s">
        <v>78</v>
      </c>
      <c r="B13" s="13" t="s">
        <v>79</v>
      </c>
      <c r="C13" s="13" t="s">
        <v>75</v>
      </c>
    </row>
    <row r="14" spans="1:3" ht="12.75">
      <c r="A14" s="13" t="s">
        <v>80</v>
      </c>
      <c r="B14" s="13" t="s">
        <v>81</v>
      </c>
      <c r="C14" s="13" t="s">
        <v>82</v>
      </c>
    </row>
    <row r="15" spans="1:3" ht="12.75">
      <c r="A15" s="13" t="s">
        <v>83</v>
      </c>
      <c r="B15" s="13" t="s">
        <v>84</v>
      </c>
      <c r="C15" s="13" t="s">
        <v>82</v>
      </c>
    </row>
    <row r="16" spans="1:3" ht="12.75">
      <c r="A16" s="13" t="s">
        <v>85</v>
      </c>
      <c r="B16" s="13" t="s">
        <v>82</v>
      </c>
      <c r="C16" s="13" t="s">
        <v>68</v>
      </c>
    </row>
    <row r="17" spans="1:3" ht="12.75">
      <c r="A17" s="13" t="s">
        <v>87</v>
      </c>
      <c r="B17" s="13" t="s">
        <v>88</v>
      </c>
      <c r="C17" s="13" t="s">
        <v>72</v>
      </c>
    </row>
    <row r="18" spans="1:3" ht="12.75">
      <c r="A18" s="13" t="s">
        <v>89</v>
      </c>
      <c r="B18" s="13" t="s">
        <v>75</v>
      </c>
      <c r="C18" s="13" t="s">
        <v>75</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C33"/>
  <sheetViews>
    <sheetView workbookViewId="0" topLeftCell="A1"/>
  </sheetViews>
  <sheetFormatPr defaultColWidth="14.421875" defaultRowHeight="12.75" customHeight="1"/>
  <cols>
    <col min="1" max="1" width="15.140625" style="0" customWidth="1"/>
    <col min="2" max="2" width="18.8515625" style="0" customWidth="1"/>
    <col min="3" max="3" width="13.7109375" style="0" customWidth="1"/>
  </cols>
  <sheetData>
    <row r="1" spans="1:3" ht="15" customHeight="1">
      <c r="A1" s="14" t="s">
        <v>55</v>
      </c>
      <c r="B1" s="14" t="s">
        <v>2</v>
      </c>
      <c r="C1" s="73" t="s">
        <v>65</v>
      </c>
    </row>
    <row r="2" spans="1:3" ht="15" customHeight="1">
      <c r="A2" s="74" t="s">
        <v>141</v>
      </c>
      <c r="B2" s="74" t="s">
        <v>235</v>
      </c>
      <c r="C2" s="128">
        <v>32</v>
      </c>
    </row>
    <row r="3" spans="1:3" ht="15" customHeight="1">
      <c r="A3" s="74" t="s">
        <v>430</v>
      </c>
      <c r="B3" s="74" t="s">
        <v>431</v>
      </c>
      <c r="C3" s="129"/>
    </row>
    <row r="4" spans="1:3" ht="15" customHeight="1">
      <c r="A4" s="74" t="s">
        <v>237</v>
      </c>
      <c r="B4" s="74" t="s">
        <v>433</v>
      </c>
      <c r="C4" s="129"/>
    </row>
    <row r="5" spans="1:3" ht="15" customHeight="1">
      <c r="A5" s="74" t="s">
        <v>205</v>
      </c>
      <c r="B5" s="74" t="s">
        <v>151</v>
      </c>
      <c r="C5" s="129"/>
    </row>
    <row r="6" spans="1:3" ht="15" customHeight="1">
      <c r="A6" s="74" t="s">
        <v>256</v>
      </c>
      <c r="B6" s="129"/>
      <c r="C6" s="129"/>
    </row>
    <row r="7" spans="1:3" ht="15" customHeight="1">
      <c r="A7" s="74" t="s">
        <v>155</v>
      </c>
      <c r="B7" s="129"/>
      <c r="C7" s="129"/>
    </row>
    <row r="8" spans="1:3" ht="15" customHeight="1">
      <c r="A8" s="129"/>
      <c r="B8" s="129"/>
      <c r="C8" s="129"/>
    </row>
    <row r="9" spans="1:3" ht="15" customHeight="1">
      <c r="A9" s="129"/>
      <c r="B9" s="129"/>
      <c r="C9" s="129"/>
    </row>
    <row r="10" spans="1:3" ht="15" customHeight="1">
      <c r="A10" s="129"/>
      <c r="B10" s="129"/>
      <c r="C10" s="129"/>
    </row>
    <row r="11" spans="1:3" ht="15" customHeight="1">
      <c r="A11" s="129"/>
      <c r="B11" s="129"/>
      <c r="C11" s="129"/>
    </row>
    <row r="12" spans="1:3" ht="15" customHeight="1">
      <c r="A12" s="129"/>
      <c r="B12" s="129"/>
      <c r="C12" s="129"/>
    </row>
    <row r="13" spans="1:3" ht="15" customHeight="1">
      <c r="A13" s="129"/>
      <c r="B13" s="129"/>
      <c r="C13" s="129"/>
    </row>
    <row r="14" spans="1:3" ht="15" customHeight="1">
      <c r="A14" s="129"/>
      <c r="B14" s="129"/>
      <c r="C14" s="129"/>
    </row>
    <row r="15" spans="1:3" ht="15" customHeight="1">
      <c r="A15" s="129"/>
      <c r="B15" s="129"/>
      <c r="C15" s="129"/>
    </row>
    <row r="16" spans="1:3" ht="15" customHeight="1">
      <c r="A16" s="129"/>
      <c r="B16" s="129"/>
      <c r="C16" s="129"/>
    </row>
    <row r="17" spans="1:3" ht="15" customHeight="1">
      <c r="A17" s="129"/>
      <c r="B17" s="129"/>
      <c r="C17" s="129"/>
    </row>
    <row r="18" spans="1:3" ht="15" customHeight="1">
      <c r="A18" s="129"/>
      <c r="B18" s="129"/>
      <c r="C18" s="129"/>
    </row>
    <row r="19" spans="1:3" ht="15" customHeight="1">
      <c r="A19" s="129"/>
      <c r="B19" s="129"/>
      <c r="C19" s="129"/>
    </row>
    <row r="20" spans="1:3" ht="15" customHeight="1">
      <c r="A20" s="129"/>
      <c r="B20" s="129"/>
      <c r="C20" s="129"/>
    </row>
    <row r="21" spans="1:3" ht="15" customHeight="1">
      <c r="A21" s="129"/>
      <c r="B21" s="129"/>
      <c r="C21" s="129"/>
    </row>
    <row r="22" spans="1:3" ht="15" customHeight="1">
      <c r="A22" s="129"/>
      <c r="B22" s="129"/>
      <c r="C22" s="129"/>
    </row>
    <row r="23" spans="1:3" ht="15" customHeight="1">
      <c r="A23" s="129"/>
      <c r="B23" s="129"/>
      <c r="C23" s="129"/>
    </row>
    <row r="24" spans="1:3" ht="15" customHeight="1">
      <c r="A24" s="129"/>
      <c r="B24" s="129"/>
      <c r="C24" s="129"/>
    </row>
    <row r="25" spans="1:3" ht="15" customHeight="1">
      <c r="A25" s="129"/>
      <c r="B25" s="129"/>
      <c r="C25" s="129"/>
    </row>
    <row r="26" spans="1:3" ht="15" customHeight="1">
      <c r="A26" s="129"/>
      <c r="B26" s="129"/>
      <c r="C26" s="129"/>
    </row>
    <row r="27" spans="1:3" ht="15" customHeight="1">
      <c r="A27" s="129"/>
      <c r="B27" s="129"/>
      <c r="C27" s="129"/>
    </row>
    <row r="28" spans="1:3" ht="15" customHeight="1">
      <c r="A28" s="129"/>
      <c r="B28" s="129"/>
      <c r="C28" s="129"/>
    </row>
    <row r="29" spans="1:3" ht="15" customHeight="1">
      <c r="A29" s="129"/>
      <c r="B29" s="129"/>
      <c r="C29" s="129"/>
    </row>
    <row r="30" spans="1:3" ht="15" customHeight="1">
      <c r="A30" s="129"/>
      <c r="B30" s="129"/>
      <c r="C30" s="129"/>
    </row>
    <row r="31" spans="1:3" ht="15" customHeight="1">
      <c r="A31" s="129"/>
      <c r="B31" s="129"/>
      <c r="C31" s="129"/>
    </row>
    <row r="32" spans="1:3" ht="15" customHeight="1">
      <c r="A32" s="129"/>
      <c r="B32" s="129"/>
      <c r="C32" s="129"/>
    </row>
    <row r="33" spans="1:3" ht="15" customHeight="1">
      <c r="A33" s="129"/>
      <c r="B33" s="129"/>
      <c r="C33" s="129"/>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O100"/>
  <sheetViews>
    <sheetView workbookViewId="0" topLeftCell="A1">
      <pane xSplit="5" ySplit="2" topLeftCell="F3" activePane="bottomRight" state="frozen"/>
      <selection pane="topRight" activeCell="F1" sqref="F1"/>
      <selection pane="bottomLeft" activeCell="A3" sqref="A3"/>
      <selection pane="bottomRight" activeCell="F3" sqref="F3"/>
    </sheetView>
  </sheetViews>
  <sheetFormatPr defaultColWidth="14.421875" defaultRowHeight="12.75" customHeight="1"/>
  <cols>
    <col min="1" max="1" width="44.140625" style="0" customWidth="1"/>
    <col min="2" max="2" width="9.140625" style="0" hidden="1" customWidth="1"/>
    <col min="3" max="3" width="5.7109375" style="0" hidden="1" customWidth="1"/>
    <col min="4" max="4" width="9.28125" style="0" customWidth="1"/>
    <col min="5" max="5" width="6.140625" style="0" customWidth="1"/>
    <col min="6" max="6" width="29.8515625" style="0" customWidth="1"/>
    <col min="7" max="7" width="10.7109375" style="0" customWidth="1"/>
    <col min="8" max="8" width="33.421875" style="0" customWidth="1"/>
    <col min="9" max="9" width="9.28125" style="0" customWidth="1"/>
    <col min="10" max="10" width="32.421875" style="0" customWidth="1"/>
    <col min="11" max="11" width="9.421875" style="0" customWidth="1"/>
    <col min="12" max="12" width="31.57421875" style="0" customWidth="1"/>
    <col min="13" max="13" width="9.8515625" style="0" customWidth="1"/>
    <col min="14" max="14" width="30.28125" style="0" customWidth="1"/>
    <col min="15" max="15" width="11.140625" style="0" customWidth="1"/>
  </cols>
  <sheetData>
    <row r="1" spans="1:15" ht="12.75">
      <c r="A1" s="2" t="s">
        <v>3</v>
      </c>
      <c r="B1" s="38"/>
      <c r="C1" s="137"/>
      <c r="D1" s="139" t="s">
        <v>495</v>
      </c>
      <c r="E1" s="58" t="s">
        <v>180</v>
      </c>
      <c r="F1" s="60" t="s">
        <v>500</v>
      </c>
      <c r="G1" s="44"/>
      <c r="H1" s="62" t="s">
        <v>111</v>
      </c>
      <c r="I1" s="44"/>
      <c r="J1" s="64" t="s">
        <v>126</v>
      </c>
      <c r="K1" s="44"/>
      <c r="L1" s="67" t="s">
        <v>121</v>
      </c>
      <c r="M1" s="44"/>
      <c r="N1" s="144" t="s">
        <v>507</v>
      </c>
      <c r="O1" s="44"/>
    </row>
    <row r="2" spans="1:15" ht="12.75">
      <c r="A2" s="69"/>
      <c r="B2" s="69"/>
      <c r="C2" s="69"/>
      <c r="D2" s="69"/>
      <c r="E2" s="69"/>
      <c r="F2" s="71" t="s">
        <v>112</v>
      </c>
      <c r="G2" s="72" t="s">
        <v>229</v>
      </c>
      <c r="H2" s="101" t="s">
        <v>231</v>
      </c>
      <c r="I2" s="106" t="s">
        <v>318</v>
      </c>
      <c r="J2" s="146" t="s">
        <v>231</v>
      </c>
      <c r="K2" s="149" t="str">
        <f>I2</f>
        <v>Impact Value</v>
      </c>
      <c r="L2" s="151" t="s">
        <v>231</v>
      </c>
      <c r="M2" s="153" t="str">
        <f>K2</f>
        <v>Impact Value</v>
      </c>
      <c r="N2" s="154" t="s">
        <v>231</v>
      </c>
      <c r="O2" s="195" t="str">
        <f>M2</f>
        <v>Impact Value</v>
      </c>
    </row>
    <row r="3" spans="1:15" ht="12.75">
      <c r="A3" s="82" t="str">
        <f>HYPERLINK("","NPI: Figs Scrubs")</f>
        <v>NPI: Figs Scrubs</v>
      </c>
      <c r="B3" s="5"/>
      <c r="C3" s="7"/>
      <c r="D3" s="197" t="s">
        <v>636</v>
      </c>
      <c r="E3" s="165" t="str">
        <f aca="true" t="shared" si="0" ref="E3:E30">((I3+K3+M3+O3)/(G3))+(IF(MID(D3,1,1)="Y",1,0)+IF(MID(D3,3,1)="Y",1,0)+IF(MID(D3,5,1)="Y",1,0)+IF(MID(D3,7,1)="Y",1,0))/4</f>
        <v>4.25</v>
      </c>
      <c r="F3" s="173" t="s">
        <v>641</v>
      </c>
      <c r="G3" s="183" t="str">
        <f>VLOOKUP(F3,'fom-pulldowns'!$C$9:$D$18,2,FALSE)</f>
        <v>1</v>
      </c>
      <c r="H3" s="177" t="s">
        <v>620</v>
      </c>
      <c r="I3" s="187" t="str">
        <f>VLOOKUP(H3,'fom-pulldowns'!$C$22:$D$31,2,FALSE)</f>
        <v>1</v>
      </c>
      <c r="J3" s="192" t="s">
        <v>620</v>
      </c>
      <c r="K3" s="194" t="str">
        <f>VLOOKUP(J3,'fom-pulldowns'!$C$22:$D$31,2,FALSE)</f>
        <v>1</v>
      </c>
      <c r="L3" s="203" t="s">
        <v>620</v>
      </c>
      <c r="M3" s="205" t="str">
        <f>VLOOKUP(L3,'fom-pulldowns'!$C$22:$D$31,2,FALSE)</f>
        <v>1</v>
      </c>
      <c r="N3" s="213" t="s">
        <v>620</v>
      </c>
      <c r="O3" s="215" t="str">
        <f>VLOOKUP(N3,'fom-pulldowns'!$C$22:$D$31,2,FALSE)</f>
        <v>1</v>
      </c>
    </row>
    <row r="4" spans="1:15" ht="12.75">
      <c r="A4" s="5"/>
      <c r="B4" s="5"/>
      <c r="C4" s="7"/>
      <c r="D4" s="216"/>
      <c r="E4" s="165" t="str">
        <f t="shared" si="0"/>
        <v>3.11</v>
      </c>
      <c r="F4" s="173" t="s">
        <v>687</v>
      </c>
      <c r="G4" s="183" t="str">
        <f>VLOOKUP(F4,'fom-pulldowns'!$C$9:$D$18,2,FALSE)</f>
        <v>9</v>
      </c>
      <c r="H4" s="177" t="s">
        <v>689</v>
      </c>
      <c r="I4" s="187" t="str">
        <f>VLOOKUP(H4,'fom-pulldowns'!$C$22:$D$31,2,FALSE)</f>
        <v>10</v>
      </c>
      <c r="J4" s="192" t="s">
        <v>689</v>
      </c>
      <c r="K4" s="194" t="str">
        <f>VLOOKUP(J4,'fom-pulldowns'!$C$22:$D$31,2,FALSE)</f>
        <v>10</v>
      </c>
      <c r="L4" s="203" t="s">
        <v>622</v>
      </c>
      <c r="M4" s="205" t="str">
        <f>VLOOKUP(L4,'fom-pulldowns'!$C$22:$D$31,2,FALSE)</f>
        <v>5</v>
      </c>
      <c r="N4" s="213" t="s">
        <v>599</v>
      </c>
      <c r="O4" s="215" t="str">
        <f>VLOOKUP(N4,'fom-pulldowns'!$C$22:$D$31,2,FALSE)</f>
        <v>3</v>
      </c>
    </row>
    <row r="5" spans="1:15" ht="12.75">
      <c r="A5" s="126" t="str">
        <f>HYPERLINK("https://docs.google.com/file/d/0B8aL7M45OFh_YVJTM1dFODdlSGM/edit?usp=sharing","Mobile Site Global Rollout, Wave 1")</f>
        <v>Mobile Site Global Rollout, Wave 1</v>
      </c>
      <c r="B5" s="5"/>
      <c r="C5" s="7"/>
      <c r="D5" s="197" t="s">
        <v>704</v>
      </c>
      <c r="E5" s="165" t="str">
        <f t="shared" si="0"/>
        <v>4.00</v>
      </c>
      <c r="F5" s="173" t="s">
        <v>708</v>
      </c>
      <c r="G5" s="183" t="str">
        <f>VLOOKUP(F5,'fom-pulldowns'!$C$9:$D$18,2,FALSE)</f>
        <v>10</v>
      </c>
      <c r="H5" s="177" t="s">
        <v>689</v>
      </c>
      <c r="I5" s="187" t="str">
        <f>VLOOKUP(H5,'fom-pulldowns'!$C$22:$D$31,2,FALSE)</f>
        <v>10</v>
      </c>
      <c r="J5" s="192" t="s">
        <v>689</v>
      </c>
      <c r="K5" s="194" t="str">
        <f>VLOOKUP(J5,'fom-pulldowns'!$C$22:$D$31,2,FALSE)</f>
        <v>10</v>
      </c>
      <c r="L5" s="203" t="s">
        <v>622</v>
      </c>
      <c r="M5" s="205" t="str">
        <f>VLOOKUP(L5,'fom-pulldowns'!$C$22:$D$31,2,FALSE)</f>
        <v>5</v>
      </c>
      <c r="N5" s="213" t="s">
        <v>622</v>
      </c>
      <c r="O5" s="215" t="str">
        <f>VLOOKUP(N5,'fom-pulldowns'!$C$22:$D$31,2,FALSE)</f>
        <v>5</v>
      </c>
    </row>
    <row r="6" spans="1:15" ht="12.75">
      <c r="A6" s="218" t="str">
        <f>HYPERLINK("https://docs.google.com/leaf?id=0B8aL7M45OFh_NWVlMzBhODYtOTg2Ny00NjljLWIzMmUtY2Q2ZjAzY2VjODRh&amp;hl=en_US&amp;authkey=CIXEreAI","BISN Triage Phase 1 (Backend)")</f>
        <v>BISN Triage Phase 1 (Backend)</v>
      </c>
      <c r="B6" s="5"/>
      <c r="C6" s="7"/>
      <c r="D6" s="197" t="s">
        <v>722</v>
      </c>
      <c r="E6" s="165" t="str">
        <f t="shared" si="0"/>
        <v>2.80</v>
      </c>
      <c r="F6" s="173" t="s">
        <v>614</v>
      </c>
      <c r="G6" s="183" t="str">
        <f>VLOOKUP(F6,'fom-pulldowns'!$C$9:$D$18,2,FALSE)</f>
        <v>5</v>
      </c>
      <c r="H6" s="177" t="s">
        <v>728</v>
      </c>
      <c r="I6" s="187" t="str">
        <f>VLOOKUP(H6,'fom-pulldowns'!$C$22:$D$31,2,FALSE)</f>
        <v>6</v>
      </c>
      <c r="J6" s="192" t="s">
        <v>728</v>
      </c>
      <c r="K6" s="194" t="str">
        <f>VLOOKUP(J6,'fom-pulldowns'!$C$22:$D$31,2,FALSE)</f>
        <v>6</v>
      </c>
      <c r="L6" s="203" t="s">
        <v>620</v>
      </c>
      <c r="M6" s="205" t="str">
        <f>VLOOKUP(L6,'fom-pulldowns'!$C$22:$D$31,2,FALSE)</f>
        <v>1</v>
      </c>
      <c r="N6" s="213" t="s">
        <v>620</v>
      </c>
      <c r="O6" s="215" t="str">
        <f>VLOOKUP(N6,'fom-pulldowns'!$C$22:$D$31,2,FALSE)</f>
        <v>1</v>
      </c>
    </row>
    <row r="7" spans="1:15" ht="12.75">
      <c r="A7" s="218" t="str">
        <f>HYPERLINK("https://docs.google.com/leaf?id=0B8aL7M45OFh_YTc0NjNjMzMtZWMyMi00M2VlLTg5MmItYWY3ODVjYjRlZjc1&amp;hl=en&amp;authkey=CJ3DpoEB","Product Sets")</f>
        <v>Product Sets</v>
      </c>
      <c r="B7" s="5"/>
      <c r="C7" s="7"/>
      <c r="D7" s="197" t="s">
        <v>742</v>
      </c>
      <c r="E7" s="165" t="str">
        <f t="shared" si="0"/>
        <v>2.69</v>
      </c>
      <c r="F7" s="173" t="s">
        <v>687</v>
      </c>
      <c r="G7" s="183" t="str">
        <f>VLOOKUP(F7,'fom-pulldowns'!$C$9:$D$18,2,FALSE)</f>
        <v>9</v>
      </c>
      <c r="H7" s="177" t="s">
        <v>664</v>
      </c>
      <c r="I7" s="187" t="str">
        <f>VLOOKUP(H7,'fom-pulldowns'!$C$22:$D$31,2,FALSE)</f>
        <v>4</v>
      </c>
      <c r="J7" s="192" t="s">
        <v>728</v>
      </c>
      <c r="K7" s="194" t="str">
        <f>VLOOKUP(J7,'fom-pulldowns'!$C$22:$D$31,2,FALSE)</f>
        <v>6</v>
      </c>
      <c r="L7" s="203" t="s">
        <v>599</v>
      </c>
      <c r="M7" s="242">
        <v>6</v>
      </c>
      <c r="N7" s="213" t="s">
        <v>599</v>
      </c>
      <c r="O7" s="247">
        <v>6</v>
      </c>
    </row>
    <row r="8" spans="1:15" ht="12.75">
      <c r="A8" s="126" t="str">
        <f>HYPERLINK("https://docs.google.com/document/d/152JbS-puW2n_RMM0yO17416n8WeMXPofwEOUtqmoV7I/edit?usp=sharing","PayPal SG")</f>
        <v>PayPal SG</v>
      </c>
      <c r="B8" s="5"/>
      <c r="C8" s="7"/>
      <c r="D8" s="197" t="s">
        <v>704</v>
      </c>
      <c r="E8" s="165" t="str">
        <f t="shared" si="0"/>
        <v>2.00</v>
      </c>
      <c r="F8" s="173" t="s">
        <v>614</v>
      </c>
      <c r="G8" s="183" t="str">
        <f>VLOOKUP(F8,'fom-pulldowns'!$C$9:$D$18,2,FALSE)</f>
        <v>5</v>
      </c>
      <c r="H8" s="177" t="s">
        <v>620</v>
      </c>
      <c r="I8" s="187" t="str">
        <f>VLOOKUP(H8,'fom-pulldowns'!$C$22:$D$31,2,FALSE)</f>
        <v>1</v>
      </c>
      <c r="J8" s="192" t="s">
        <v>620</v>
      </c>
      <c r="K8" s="194" t="str">
        <f>VLOOKUP(J8,'fom-pulldowns'!$C$22:$D$31,2,FALSE)</f>
        <v>1</v>
      </c>
      <c r="L8" s="203" t="s">
        <v>652</v>
      </c>
      <c r="M8" s="205" t="str">
        <f>VLOOKUP(L8,'fom-pulldowns'!$C$22:$D$31,2,FALSE)</f>
        <v>2</v>
      </c>
      <c r="N8" s="213" t="s">
        <v>620</v>
      </c>
      <c r="O8" s="215" t="str">
        <f>VLOOKUP(N8,'fom-pulldowns'!$C$22:$D$31,2,FALSE)</f>
        <v>1</v>
      </c>
    </row>
    <row r="9" spans="1:15" ht="12.75">
      <c r="A9" s="235" t="str">
        <f>HYPERLINK("https://docs.google.com/leaf?id=0B8aL7M45OFh_YzMxMmRmMzgtYTc4Yi00MjEyLWFmMTQtNDI5Y2Y5OGNiM2Ez&amp;hl=en_US","Gift with purchase (GWP)")</f>
        <v>Gift with purchase (GWP)</v>
      </c>
      <c r="B9" s="5"/>
      <c r="C9" s="7"/>
      <c r="D9" s="197" t="s">
        <v>764</v>
      </c>
      <c r="E9" s="165" t="str">
        <f t="shared" si="0"/>
        <v>2.38</v>
      </c>
      <c r="F9" s="173" t="s">
        <v>766</v>
      </c>
      <c r="G9" s="183" t="str">
        <f>VLOOKUP(F9,'fom-pulldowns'!$C$9:$D$18,2,FALSE)</f>
        <v>8</v>
      </c>
      <c r="H9" s="177" t="s">
        <v>728</v>
      </c>
      <c r="I9" s="187" t="str">
        <f>VLOOKUP(H9,'fom-pulldowns'!$C$22:$D$31,2,FALSE)</f>
        <v>6</v>
      </c>
      <c r="J9" s="192" t="s">
        <v>599</v>
      </c>
      <c r="K9" s="194" t="str">
        <f>VLOOKUP(J9,'fom-pulldowns'!$C$22:$D$31,2,FALSE)</f>
        <v>3</v>
      </c>
      <c r="L9" s="203" t="s">
        <v>620</v>
      </c>
      <c r="M9" s="242">
        <v>3</v>
      </c>
      <c r="N9" s="213" t="s">
        <v>620</v>
      </c>
      <c r="O9" s="247">
        <v>3</v>
      </c>
    </row>
    <row r="10" spans="1:15" ht="12.75">
      <c r="A10" s="126" t="str">
        <f>HYPERLINK("https://docs.google.com/open?id=0B8aL7M45OFh_Y2U0NjBhNzAtYWMyNC00ZGFhLWI2MmEtYjA3MDUzNTVhYjE4","Google Trusted Store")</f>
        <v>Google Trusted Store</v>
      </c>
      <c r="B10" s="5"/>
      <c r="C10" s="7"/>
      <c r="D10" s="197" t="s">
        <v>722</v>
      </c>
      <c r="E10" s="165" t="str">
        <f t="shared" si="0"/>
        <v>1.57</v>
      </c>
      <c r="F10" s="173" t="s">
        <v>691</v>
      </c>
      <c r="G10" s="183" t="str">
        <f>VLOOKUP(F10,'fom-pulldowns'!$C$9:$D$18,2,FALSE)</f>
        <v>7</v>
      </c>
      <c r="H10" s="177" t="s">
        <v>622</v>
      </c>
      <c r="I10" s="187" t="str">
        <f>VLOOKUP(H10,'fom-pulldowns'!$C$22:$D$31,2,FALSE)</f>
        <v>5</v>
      </c>
      <c r="J10" s="192" t="s">
        <v>664</v>
      </c>
      <c r="K10" s="194" t="str">
        <f>VLOOKUP(J10,'fom-pulldowns'!$C$22:$D$31,2,FALSE)</f>
        <v>4</v>
      </c>
      <c r="L10" s="203" t="s">
        <v>620</v>
      </c>
      <c r="M10" s="205" t="str">
        <f>VLOOKUP(L10,'fom-pulldowns'!$C$22:$D$31,2,FALSE)</f>
        <v>1</v>
      </c>
      <c r="N10" s="213" t="s">
        <v>620</v>
      </c>
      <c r="O10" s="215" t="str">
        <f>VLOOKUP(N10,'fom-pulldowns'!$C$22:$D$31,2,FALSE)</f>
        <v>1</v>
      </c>
    </row>
    <row r="11" spans="1:15" ht="12.75">
      <c r="A11" s="126" t="str">
        <f>HYPERLINK("https://docs.google.com/open?id=0B8aL7M45OFh_UDVFVHA5bTlRdXFJRkhDcWlrRDFhZw","Mobile Only Couponing")</f>
        <v>Mobile Only Couponing</v>
      </c>
      <c r="B11" s="5"/>
      <c r="C11" s="7"/>
      <c r="D11" s="197" t="s">
        <v>722</v>
      </c>
      <c r="E11" s="165" t="str">
        <f t="shared" si="0"/>
        <v>1.80</v>
      </c>
      <c r="F11" s="173" t="s">
        <v>614</v>
      </c>
      <c r="G11" s="183" t="str">
        <f>VLOOKUP(F11,'fom-pulldowns'!$C$9:$D$18,2,FALSE)</f>
        <v>5</v>
      </c>
      <c r="H11" s="177" t="s">
        <v>664</v>
      </c>
      <c r="I11" s="187" t="str">
        <f>VLOOKUP(H11,'fom-pulldowns'!$C$22:$D$31,2,FALSE)</f>
        <v>4</v>
      </c>
      <c r="J11" s="192" t="s">
        <v>620</v>
      </c>
      <c r="K11" s="275">
        <v>3</v>
      </c>
      <c r="L11" s="203" t="s">
        <v>620</v>
      </c>
      <c r="M11" s="205" t="str">
        <f>VLOOKUP(L11,'fom-pulldowns'!$C$22:$D$31,2,FALSE)</f>
        <v>1</v>
      </c>
      <c r="N11" s="213" t="s">
        <v>620</v>
      </c>
      <c r="O11" s="215" t="str">
        <f>VLOOKUP(N11,'fom-pulldowns'!$C$22:$D$31,2,FALSE)</f>
        <v>1</v>
      </c>
    </row>
    <row r="12" spans="1:15" ht="12.75">
      <c r="A12" s="126" t="str">
        <f>HYPERLINK("https://docs.google.com/document/d/1c8XMgSIYIfVinaDa23Qoy9QI-DadL6TfFFEFKg6IJeY/edit","US ebay upgrades")</f>
        <v>US ebay upgrades</v>
      </c>
      <c r="B12" s="5"/>
      <c r="C12" s="7"/>
      <c r="D12" s="197" t="s">
        <v>704</v>
      </c>
      <c r="E12" s="165" t="str">
        <f t="shared" si="0"/>
        <v>2.14</v>
      </c>
      <c r="F12" s="173" t="s">
        <v>691</v>
      </c>
      <c r="G12" s="183" t="str">
        <f>VLOOKUP(F12,'fom-pulldowns'!$C$9:$D$18,2,FALSE)</f>
        <v>7</v>
      </c>
      <c r="H12" s="177" t="s">
        <v>622</v>
      </c>
      <c r="I12" s="187" t="str">
        <f>VLOOKUP(H12,'fom-pulldowns'!$C$22:$D$31,2,FALSE)</f>
        <v>5</v>
      </c>
      <c r="J12" s="192" t="s">
        <v>620</v>
      </c>
      <c r="K12" s="194" t="str">
        <f>VLOOKUP(J12,'fom-pulldowns'!$C$22:$D$31,2,FALSE)</f>
        <v>1</v>
      </c>
      <c r="L12" s="203" t="s">
        <v>620</v>
      </c>
      <c r="M12" s="205" t="str">
        <f>VLOOKUP(L12,'fom-pulldowns'!$C$22:$D$31,2,FALSE)</f>
        <v>1</v>
      </c>
      <c r="N12" s="213" t="s">
        <v>620</v>
      </c>
      <c r="O12" s="215" t="str">
        <f>VLOOKUP(N12,'fom-pulldowns'!$C$22:$D$31,2,FALSE)</f>
        <v>1</v>
      </c>
    </row>
    <row r="13" spans="1:15" ht="12.75">
      <c r="A13" s="126" t="str">
        <f>HYPERLINK("https://docs.google.com/document/d/104GcuVdpqyDEPBnIM6O3BJ3LnmQSmcQ6UNyl5T6XgMk/edit?usp=sharing","ShoeFinder")</f>
        <v>ShoeFinder</v>
      </c>
      <c r="B13" s="5"/>
      <c r="C13" s="7"/>
      <c r="D13" s="197" t="s">
        <v>803</v>
      </c>
      <c r="E13" s="165" t="str">
        <f t="shared" si="0"/>
        <v>3.18</v>
      </c>
      <c r="F13" s="173" t="s">
        <v>691</v>
      </c>
      <c r="G13" s="183" t="str">
        <f>VLOOKUP(F13,'fom-pulldowns'!$C$9:$D$18,2,FALSE)</f>
        <v>7</v>
      </c>
      <c r="H13" s="177" t="s">
        <v>806</v>
      </c>
      <c r="I13" s="187" t="str">
        <f>VLOOKUP(H13,'fom-pulldowns'!$C$22:$D$31,2,FALSE)</f>
        <v>8</v>
      </c>
      <c r="J13" s="192" t="s">
        <v>615</v>
      </c>
      <c r="K13" s="194" t="str">
        <f>VLOOKUP(J13,'fom-pulldowns'!$C$22:$D$31,2,FALSE)</f>
        <v>7</v>
      </c>
      <c r="L13" s="203" t="s">
        <v>620</v>
      </c>
      <c r="M13" s="205" t="str">
        <f>VLOOKUP(L13,'fom-pulldowns'!$C$22:$D$31,2,FALSE)</f>
        <v>1</v>
      </c>
      <c r="N13" s="213" t="s">
        <v>620</v>
      </c>
      <c r="O13" s="215" t="str">
        <f>VLOOKUP(N13,'fom-pulldowns'!$C$22:$D$31,2,FALSE)</f>
        <v>1</v>
      </c>
    </row>
    <row r="14" spans="1:15" ht="12.75">
      <c r="A14" s="82" t="str">
        <f>HYPERLINK("","Akamai EU")</f>
        <v>Akamai EU</v>
      </c>
      <c r="B14" s="5"/>
      <c r="C14" s="7"/>
      <c r="D14" s="197" t="s">
        <v>803</v>
      </c>
      <c r="E14" s="165" t="str">
        <f t="shared" si="0"/>
        <v>3.00</v>
      </c>
      <c r="F14" s="173" t="s">
        <v>621</v>
      </c>
      <c r="G14" s="183" t="str">
        <f>VLOOKUP(F14,'fom-pulldowns'!$C$9:$D$18,2,FALSE)</f>
        <v>4</v>
      </c>
      <c r="H14" s="177" t="s">
        <v>620</v>
      </c>
      <c r="I14" s="187" t="str">
        <f>VLOOKUP(H14,'fom-pulldowns'!$C$22:$D$31,2,FALSE)</f>
        <v>1</v>
      </c>
      <c r="J14" s="192" t="s">
        <v>728</v>
      </c>
      <c r="K14" s="194" t="str">
        <f>VLOOKUP(J14,'fom-pulldowns'!$C$22:$D$31,2,FALSE)</f>
        <v>6</v>
      </c>
      <c r="L14" s="203" t="s">
        <v>620</v>
      </c>
      <c r="M14" s="205" t="str">
        <f>VLOOKUP(L14,'fom-pulldowns'!$C$22:$D$31,2,FALSE)</f>
        <v>1</v>
      </c>
      <c r="N14" s="213" t="s">
        <v>620</v>
      </c>
      <c r="O14" s="215" t="str">
        <f>VLOOKUP(N14,'fom-pulldowns'!$C$22:$D$31,2,FALSE)</f>
        <v>1</v>
      </c>
    </row>
    <row r="15" spans="1:15" ht="12.75">
      <c r="A15" s="126" t="str">
        <f>HYPERLINK("https://docs.google.com/document/d/1RXkBtRfwB0a_ZTw6Kf6JTq-ZZ2a8Xt3d9geMieAQJKA/edit","CRM Data Capture EU/AP")</f>
        <v>CRM Data Capture EU/AP</v>
      </c>
      <c r="B15" s="5"/>
      <c r="C15" s="7"/>
      <c r="D15" s="197" t="s">
        <v>811</v>
      </c>
      <c r="E15" s="165" t="str">
        <f t="shared" si="0"/>
        <v>2.08</v>
      </c>
      <c r="F15" s="173" t="s">
        <v>687</v>
      </c>
      <c r="G15" s="183" t="str">
        <f>VLOOKUP(F15,'fom-pulldowns'!$C$9:$D$18,2,FALSE)</f>
        <v>9</v>
      </c>
      <c r="H15" s="177" t="s">
        <v>620</v>
      </c>
      <c r="I15" s="187" t="str">
        <f>VLOOKUP(H15,'fom-pulldowns'!$C$22:$D$31,2,FALSE)</f>
        <v>1</v>
      </c>
      <c r="J15" s="192" t="s">
        <v>728</v>
      </c>
      <c r="K15" s="194" t="str">
        <f>VLOOKUP(J15,'fom-pulldowns'!$C$22:$D$31,2,FALSE)</f>
        <v>6</v>
      </c>
      <c r="L15" s="203" t="s">
        <v>664</v>
      </c>
      <c r="M15" s="205" t="str">
        <f>VLOOKUP(L15,'fom-pulldowns'!$C$22:$D$31,2,FALSE)</f>
        <v>4</v>
      </c>
      <c r="N15" s="213" t="s">
        <v>620</v>
      </c>
      <c r="O15" s="215" t="str">
        <f>VLOOKUP(N15,'fom-pulldowns'!$C$22:$D$31,2,FALSE)</f>
        <v>1</v>
      </c>
    </row>
    <row r="16" spans="1:15" ht="12.75">
      <c r="A16" s="126" t="str">
        <f>HYPERLINK("https://docs.google.com/open?id=0B8aL7M45OFh_NzRzNGhybzlUeFk","CrocsRx.ca")</f>
        <v>CrocsRx.ca</v>
      </c>
      <c r="B16" s="5"/>
      <c r="C16" s="7"/>
      <c r="D16" s="197" t="s">
        <v>742</v>
      </c>
      <c r="E16" s="165" t="str">
        <f t="shared" si="0"/>
        <v>1.45</v>
      </c>
      <c r="F16" s="173" t="s">
        <v>614</v>
      </c>
      <c r="G16" s="183" t="str">
        <f>VLOOKUP(F16,'fom-pulldowns'!$C$9:$D$18,2,FALSE)</f>
        <v>5</v>
      </c>
      <c r="H16" s="177" t="s">
        <v>599</v>
      </c>
      <c r="I16" s="187" t="str">
        <f>VLOOKUP(H16,'fom-pulldowns'!$C$22:$D$31,2,FALSE)</f>
        <v>3</v>
      </c>
      <c r="J16" s="192" t="s">
        <v>620</v>
      </c>
      <c r="K16" s="194" t="str">
        <f>VLOOKUP(J16,'fom-pulldowns'!$C$22:$D$31,2,FALSE)</f>
        <v>1</v>
      </c>
      <c r="L16" s="203" t="s">
        <v>620</v>
      </c>
      <c r="M16" s="205" t="str">
        <f>VLOOKUP(L16,'fom-pulldowns'!$C$22:$D$31,2,FALSE)</f>
        <v>1</v>
      </c>
      <c r="N16" s="213" t="s">
        <v>620</v>
      </c>
      <c r="O16" s="215" t="str">
        <f>VLOOKUP(N16,'fom-pulldowns'!$C$22:$D$31,2,FALSE)</f>
        <v>1</v>
      </c>
    </row>
    <row r="17" spans="1:15" ht="12.75">
      <c r="A17" s="126" t="str">
        <f>HYPERLINK("https://docs.google.com/file/d/0B8aL7M45OFh_VU9icmNNNkJmMU0/edit?usp=sharing","KR Virtual Account Bank Transfer Adyen-Inicis")</f>
        <v>KR Virtual Account Bank Transfer Adyen-Inicis</v>
      </c>
      <c r="B17" s="5"/>
      <c r="C17" s="7"/>
      <c r="D17" s="197" t="s">
        <v>636</v>
      </c>
      <c r="E17" s="165" t="str">
        <f t="shared" si="0"/>
        <v>2.13</v>
      </c>
      <c r="F17" s="173" t="s">
        <v>766</v>
      </c>
      <c r="G17" s="183" t="str">
        <f>VLOOKUP(F17,'fom-pulldowns'!$C$9:$D$18,2,FALSE)</f>
        <v>8</v>
      </c>
      <c r="H17" s="177" t="s">
        <v>620</v>
      </c>
      <c r="I17" s="187" t="str">
        <f>VLOOKUP(H17,'fom-pulldowns'!$C$22:$D$31,2,FALSE)</f>
        <v>1</v>
      </c>
      <c r="J17" s="192" t="s">
        <v>620</v>
      </c>
      <c r="K17" s="275">
        <v>8</v>
      </c>
      <c r="L17" s="203" t="s">
        <v>622</v>
      </c>
      <c r="M17" s="205" t="str">
        <f>VLOOKUP(L17,'fom-pulldowns'!$C$22:$D$31,2,FALSE)</f>
        <v>5</v>
      </c>
      <c r="N17" s="213" t="s">
        <v>620</v>
      </c>
      <c r="O17" s="215" t="str">
        <f>VLOOKUP(N17,'fom-pulldowns'!$C$22:$D$31,2,FALSE)</f>
        <v>1</v>
      </c>
    </row>
    <row r="18" spans="1:15" ht="12.75">
      <c r="A18" s="126" t="str">
        <f>HYPERLINK("https://docs.google.com/open?id=0B8aL7M45OFh_Nmh6STQ5RjBITEE","Expanding Wish List Feature")</f>
        <v>Expanding Wish List Feature</v>
      </c>
      <c r="B18" s="5"/>
      <c r="C18" s="7"/>
      <c r="D18" s="197" t="s">
        <v>722</v>
      </c>
      <c r="E18" s="165" t="str">
        <f t="shared" si="0"/>
        <v>1.29</v>
      </c>
      <c r="F18" s="173" t="s">
        <v>691</v>
      </c>
      <c r="G18" s="183" t="str">
        <f>VLOOKUP(F18,'fom-pulldowns'!$C$9:$D$18,2,FALSE)</f>
        <v>7</v>
      </c>
      <c r="H18" s="177" t="s">
        <v>664</v>
      </c>
      <c r="I18" s="187" t="str">
        <f>VLOOKUP(H18,'fom-pulldowns'!$C$22:$D$31,2,FALSE)</f>
        <v>4</v>
      </c>
      <c r="J18" s="192" t="s">
        <v>620</v>
      </c>
      <c r="K18" s="275">
        <v>3</v>
      </c>
      <c r="L18" s="203" t="s">
        <v>620</v>
      </c>
      <c r="M18" s="205" t="str">
        <f>VLOOKUP(L18,'fom-pulldowns'!$C$22:$D$31,2,FALSE)</f>
        <v>1</v>
      </c>
      <c r="N18" s="213" t="s">
        <v>620</v>
      </c>
      <c r="O18" s="215" t="str">
        <f>VLOOKUP(N18,'fom-pulldowns'!$C$22:$D$31,2,FALSE)</f>
        <v>1</v>
      </c>
    </row>
    <row r="19" spans="1:15" ht="12.75">
      <c r="A19" s="126" t="str">
        <f>HYPERLINK("https://docs.google.com/document/d/1b-fdc6i5uDWeew0gnVYJEBjjCG8DGMbGQ04qwAB3iyk/edit","Americas Phase 1 Crocs Club Rewards: eComm Integration and Customer Experience on Web")</f>
        <v>Americas Phase 1 Crocs Club Rewards: eComm Integration and Customer Experience on Web</v>
      </c>
      <c r="B19" s="5"/>
      <c r="C19" s="7"/>
      <c r="D19" s="197" t="s">
        <v>722</v>
      </c>
      <c r="E19" s="165" t="str">
        <f t="shared" si="0"/>
        <v>1.13</v>
      </c>
      <c r="F19" s="173" t="s">
        <v>766</v>
      </c>
      <c r="G19" s="183" t="str">
        <f>VLOOKUP(F19,'fom-pulldowns'!$C$9:$D$18,2,FALSE)</f>
        <v>8</v>
      </c>
      <c r="H19" s="177" t="s">
        <v>728</v>
      </c>
      <c r="I19" s="187" t="str">
        <f>VLOOKUP(H19,'fom-pulldowns'!$C$22:$D$31,2,FALSE)</f>
        <v>6</v>
      </c>
      <c r="J19" s="192" t="s">
        <v>620</v>
      </c>
      <c r="K19" s="194" t="str">
        <f>VLOOKUP(J19,'fom-pulldowns'!$C$22:$D$31,2,FALSE)</f>
        <v>1</v>
      </c>
      <c r="L19" s="203" t="s">
        <v>620</v>
      </c>
      <c r="M19" s="205" t="str">
        <f>VLOOKUP(L19,'fom-pulldowns'!$C$22:$D$31,2,FALSE)</f>
        <v>1</v>
      </c>
      <c r="N19" s="213" t="s">
        <v>620</v>
      </c>
      <c r="O19" s="215" t="str">
        <f>VLOOKUP(N19,'fom-pulldowns'!$C$22:$D$31,2,FALSE)</f>
        <v>1</v>
      </c>
    </row>
    <row r="20" spans="1:15" ht="12.75">
      <c r="A20" s="126" t="str">
        <f>HYPERLINK("https://docs.google.com/file/d/0B8aL7M45OFh_OTQ4eTBJRnVsRUE/edit?usp=sharing","Random Coupon Code Generator")</f>
        <v>Random Coupon Code Generator</v>
      </c>
      <c r="B20" s="5"/>
      <c r="C20" s="7"/>
      <c r="D20" s="197" t="s">
        <v>722</v>
      </c>
      <c r="E20" s="165" t="str">
        <f t="shared" si="0"/>
        <v>0.80</v>
      </c>
      <c r="F20" s="173" t="s">
        <v>614</v>
      </c>
      <c r="G20" s="183" t="str">
        <f>VLOOKUP(F20,'fom-pulldowns'!$C$9:$D$18,2,FALSE)</f>
        <v>5</v>
      </c>
      <c r="H20" s="177" t="s">
        <v>620</v>
      </c>
      <c r="I20" s="187" t="str">
        <f>VLOOKUP(H20,'fom-pulldowns'!$C$22:$D$31,2,FALSE)</f>
        <v>1</v>
      </c>
      <c r="J20" s="192" t="s">
        <v>620</v>
      </c>
      <c r="K20" s="194" t="str">
        <f>VLOOKUP(J20,'fom-pulldowns'!$C$22:$D$31,2,FALSE)</f>
        <v>1</v>
      </c>
      <c r="L20" s="203" t="s">
        <v>620</v>
      </c>
      <c r="M20" s="205" t="str">
        <f>VLOOKUP(L20,'fom-pulldowns'!$C$22:$D$31,2,FALSE)</f>
        <v>1</v>
      </c>
      <c r="N20" s="213" t="s">
        <v>620</v>
      </c>
      <c r="O20" s="215" t="str">
        <f>VLOOKUP(N20,'fom-pulldowns'!$C$22:$D$31,2,FALSE)</f>
        <v>1</v>
      </c>
    </row>
    <row r="21" spans="1:15" ht="12.75">
      <c r="A21" s="126" t="str">
        <f>HYPERLINK("https://docs.google.com/file/d/0B8aL7M45OFh_Q2hLdFlzR2pvd3M/edit?usp=sharing","Shipment Tracking number for AU/HK/SG/TW")</f>
        <v>Shipment Tracking number for AU/HK/SG/TW</v>
      </c>
      <c r="B21" s="5"/>
      <c r="C21" s="7"/>
      <c r="D21" s="197" t="s">
        <v>722</v>
      </c>
      <c r="E21" s="165" t="str">
        <f t="shared" si="0"/>
        <v>0.86</v>
      </c>
      <c r="F21" s="173" t="s">
        <v>691</v>
      </c>
      <c r="G21" s="183" t="str">
        <f>VLOOKUP(F21,'fom-pulldowns'!$C$9:$D$18,2,FALSE)</f>
        <v>7</v>
      </c>
      <c r="H21" s="177" t="s">
        <v>620</v>
      </c>
      <c r="I21" s="187" t="str">
        <f>VLOOKUP(H21,'fom-pulldowns'!$C$22:$D$31,2,FALSE)</f>
        <v>1</v>
      </c>
      <c r="J21" s="192" t="s">
        <v>620</v>
      </c>
      <c r="K21" s="194" t="str">
        <f>VLOOKUP(J21,'fom-pulldowns'!$C$22:$D$31,2,FALSE)</f>
        <v>1</v>
      </c>
      <c r="L21" s="203" t="s">
        <v>652</v>
      </c>
      <c r="M21" s="205" t="str">
        <f>VLOOKUP(L21,'fom-pulldowns'!$C$22:$D$31,2,FALSE)</f>
        <v>2</v>
      </c>
      <c r="N21" s="213" t="s">
        <v>652</v>
      </c>
      <c r="O21" s="215" t="str">
        <f>VLOOKUP(N21,'fom-pulldowns'!$C$22:$D$31,2,FALSE)</f>
        <v>2</v>
      </c>
    </row>
    <row r="22" spans="1:15" ht="12.75">
      <c r="A22" s="126" t="str">
        <f>HYPERLINK("https://docs.google.com/file/d/0B8aL7M45OFh_RXZiTjU1TmNXdms/edit?usp=sharing","TW/SG COD")</f>
        <v>TW/SG COD</v>
      </c>
      <c r="B22" s="5"/>
      <c r="C22" s="7"/>
      <c r="D22" s="197" t="s">
        <v>722</v>
      </c>
      <c r="E22" s="165" t="str">
        <f t="shared" si="0"/>
        <v>1.20</v>
      </c>
      <c r="F22" s="173" t="s">
        <v>614</v>
      </c>
      <c r="G22" s="183" t="str">
        <f>VLOOKUP(F22,'fom-pulldowns'!$C$9:$D$18,2,FALSE)</f>
        <v>5</v>
      </c>
      <c r="H22" s="177" t="s">
        <v>620</v>
      </c>
      <c r="I22" s="187" t="str">
        <f>VLOOKUP(H22,'fom-pulldowns'!$C$22:$D$31,2,FALSE)</f>
        <v>1</v>
      </c>
      <c r="J22" s="192" t="s">
        <v>620</v>
      </c>
      <c r="K22" s="194" t="str">
        <f>VLOOKUP(J22,'fom-pulldowns'!$C$22:$D$31,2,FALSE)</f>
        <v>1</v>
      </c>
      <c r="L22" s="203" t="s">
        <v>599</v>
      </c>
      <c r="M22" s="205" t="str">
        <f>VLOOKUP(L22,'fom-pulldowns'!$C$22:$D$31,2,FALSE)</f>
        <v>3</v>
      </c>
      <c r="N22" s="213" t="s">
        <v>620</v>
      </c>
      <c r="O22" s="215" t="str">
        <f>VLOOKUP(N22,'fom-pulldowns'!$C$22:$D$31,2,FALSE)</f>
        <v>1</v>
      </c>
    </row>
    <row r="23" spans="1:15" ht="12.75">
      <c r="A23" s="126" t="str">
        <f>HYPERLINK("https://docs.google.com/open?id=0B8aL7M45OFh_ZmRienpzSlBROWVxNzhUY1hPNmZGUQ","Free Offers")</f>
        <v>Free Offers</v>
      </c>
      <c r="B23" s="5"/>
      <c r="C23" s="7"/>
      <c r="D23" s="197" t="s">
        <v>722</v>
      </c>
      <c r="E23" s="165" t="str">
        <f t="shared" si="0"/>
        <v>0.70</v>
      </c>
      <c r="F23" s="173" t="s">
        <v>708</v>
      </c>
      <c r="G23" s="183" t="str">
        <f>VLOOKUP(F23,'fom-pulldowns'!$C$9:$D$18,2,FALSE)</f>
        <v>10</v>
      </c>
      <c r="H23" s="177" t="s">
        <v>620</v>
      </c>
      <c r="I23" s="187" t="str">
        <f>VLOOKUP(H23,'fom-pulldowns'!$C$22:$D$31,2,FALSE)</f>
        <v>1</v>
      </c>
      <c r="J23" s="192" t="s">
        <v>652</v>
      </c>
      <c r="K23" s="194" t="str">
        <f>VLOOKUP(J23,'fom-pulldowns'!$C$22:$D$31,2,FALSE)</f>
        <v>2</v>
      </c>
      <c r="L23" s="203" t="s">
        <v>652</v>
      </c>
      <c r="M23" s="205" t="str">
        <f>VLOOKUP(L23,'fom-pulldowns'!$C$22:$D$31,2,FALSE)</f>
        <v>2</v>
      </c>
      <c r="N23" s="213" t="s">
        <v>652</v>
      </c>
      <c r="O23" s="215" t="str">
        <f>VLOOKUP(N23,'fom-pulldowns'!$C$22:$D$31,2,FALSE)</f>
        <v>2</v>
      </c>
    </row>
    <row r="24" spans="1:15" ht="12.75">
      <c r="A24" s="126" t="str">
        <f>HYPERLINK("https://docs.google.com/file/d/0B8aL7M45OFh_Z2Vkd1RJRDl3dVU/edit?usp=sharing","Checkout Redesign US")</f>
        <v>Checkout Redesign US</v>
      </c>
      <c r="B24" s="5"/>
      <c r="C24" s="7"/>
      <c r="D24" s="197" t="s">
        <v>803</v>
      </c>
      <c r="E24" s="165" t="str">
        <f t="shared" si="0"/>
        <v>2.64</v>
      </c>
      <c r="F24" s="173" t="s">
        <v>687</v>
      </c>
      <c r="G24" s="183" t="str">
        <f>VLOOKUP(F24,'fom-pulldowns'!$C$9:$D$18,2,FALSE)</f>
        <v>9</v>
      </c>
      <c r="H24" s="177" t="s">
        <v>689</v>
      </c>
      <c r="I24" s="187" t="str">
        <f>VLOOKUP(H24,'fom-pulldowns'!$C$22:$D$31,2,FALSE)</f>
        <v>10</v>
      </c>
      <c r="J24" s="192" t="s">
        <v>620</v>
      </c>
      <c r="K24" s="275">
        <v>5</v>
      </c>
      <c r="L24" s="203" t="s">
        <v>620</v>
      </c>
      <c r="M24" s="205" t="str">
        <f>VLOOKUP(L24,'fom-pulldowns'!$C$22:$D$31,2,FALSE)</f>
        <v>1</v>
      </c>
      <c r="N24" s="213" t="s">
        <v>620</v>
      </c>
      <c r="O24" s="215" t="str">
        <f>VLOOKUP(N24,'fom-pulldowns'!$C$22:$D$31,2,FALSE)</f>
        <v>1</v>
      </c>
    </row>
    <row r="25" spans="1:15" ht="12.75">
      <c r="A25" s="126" t="str">
        <f>HYPERLINK("https://docs.google.com/document/d/1HCntQoAWKszav-lXkmcYbU7fXx-QusBstGAh5eHPOug/edit?usp=sharing","Merchandising Automation, Phase 1")</f>
        <v>Merchandising Automation, Phase 1</v>
      </c>
      <c r="B25" s="5"/>
      <c r="C25" s="7"/>
      <c r="D25" s="197" t="s">
        <v>811</v>
      </c>
      <c r="E25" s="165" t="str">
        <f t="shared" si="0"/>
        <v>1.53</v>
      </c>
      <c r="F25" s="173" t="s">
        <v>687</v>
      </c>
      <c r="G25" s="183" t="str">
        <f>VLOOKUP(F25,'fom-pulldowns'!$C$9:$D$18,2,FALSE)</f>
        <v>9</v>
      </c>
      <c r="H25" s="177" t="s">
        <v>664</v>
      </c>
      <c r="I25" s="187" t="str">
        <f>VLOOKUP(H25,'fom-pulldowns'!$C$22:$D$31,2,FALSE)</f>
        <v>4</v>
      </c>
      <c r="J25" s="192" t="s">
        <v>620</v>
      </c>
      <c r="K25" s="194" t="str">
        <f>VLOOKUP(J25,'fom-pulldowns'!$C$22:$D$31,2,FALSE)</f>
        <v>1</v>
      </c>
      <c r="L25" s="203" t="s">
        <v>620</v>
      </c>
      <c r="M25" s="205" t="str">
        <f>VLOOKUP(L25,'fom-pulldowns'!$C$22:$D$31,2,FALSE)</f>
        <v>1</v>
      </c>
      <c r="N25" s="213" t="s">
        <v>620</v>
      </c>
      <c r="O25" s="215" t="str">
        <f>VLOOKUP(N25,'fom-pulldowns'!$C$22:$D$31,2,FALSE)</f>
        <v>1</v>
      </c>
    </row>
    <row r="26" spans="1:15" ht="12.75">
      <c r="A26" s="126" t="str">
        <f>HYPERLINK("https://docs.google.com/document/d/1r8U5FB1bDugjU-K1BEkhOqOpAWrM6XvrqUIym1Rh0TU/edit?usp=sharing","Storefront Toolkit")</f>
        <v>Storefront Toolkit</v>
      </c>
      <c r="B26" s="5"/>
      <c r="C26" s="7"/>
      <c r="D26" s="197" t="s">
        <v>835</v>
      </c>
      <c r="E26" s="165" t="str">
        <f t="shared" si="0"/>
        <v>1.75</v>
      </c>
      <c r="F26" s="173" t="s">
        <v>614</v>
      </c>
      <c r="G26" s="183" t="str">
        <f>VLOOKUP(F26,'fom-pulldowns'!$C$9:$D$18,2,FALSE)</f>
        <v>5</v>
      </c>
      <c r="H26" s="177" t="s">
        <v>652</v>
      </c>
      <c r="I26" s="187" t="str">
        <f>VLOOKUP(H26,'fom-pulldowns'!$C$22:$D$31,2,FALSE)</f>
        <v>2</v>
      </c>
      <c r="J26" s="192" t="s">
        <v>620</v>
      </c>
      <c r="K26" s="194" t="str">
        <f>VLOOKUP(J26,'fom-pulldowns'!$C$22:$D$31,2,FALSE)</f>
        <v>1</v>
      </c>
      <c r="L26" s="203" t="s">
        <v>620</v>
      </c>
      <c r="M26" s="205" t="str">
        <f>VLOOKUP(L26,'fom-pulldowns'!$C$22:$D$31,2,FALSE)</f>
        <v>1</v>
      </c>
      <c r="N26" s="213" t="s">
        <v>620</v>
      </c>
      <c r="O26" s="215" t="str">
        <f>VLOOKUP(N26,'fom-pulldowns'!$C$22:$D$31,2,FALSE)</f>
        <v>1</v>
      </c>
    </row>
    <row r="27" spans="1:15" ht="12.75">
      <c r="A27" s="126" t="str">
        <f>HYPERLINK("https://docs.google.com/document/d/1fPr1dQE_o-HmCs3wVBTd7gdEuoCQ36zPphEo2dV42UM/edit?usp=sharing","Cart Improvements, Phase 3: Promotional Nearness Messaging")</f>
        <v>Cart Improvements, Phase 3: Promotional Nearness Messaging</v>
      </c>
      <c r="B27" s="5"/>
      <c r="C27" s="7"/>
      <c r="D27" s="197" t="s">
        <v>838</v>
      </c>
      <c r="E27" s="165" t="str">
        <f t="shared" si="0"/>
        <v>2.36</v>
      </c>
      <c r="F27" s="173" t="s">
        <v>691</v>
      </c>
      <c r="G27" s="183" t="str">
        <f>VLOOKUP(F27,'fom-pulldowns'!$C$9:$D$18,2,FALSE)</f>
        <v>7</v>
      </c>
      <c r="H27" s="177" t="s">
        <v>622</v>
      </c>
      <c r="I27" s="187" t="str">
        <f>VLOOKUP(H27,'fom-pulldowns'!$C$22:$D$31,2,FALSE)</f>
        <v>5</v>
      </c>
      <c r="J27" s="192" t="s">
        <v>652</v>
      </c>
      <c r="K27" s="194" t="str">
        <f>VLOOKUP(J27,'fom-pulldowns'!$C$22:$D$31,2,FALSE)</f>
        <v>2</v>
      </c>
      <c r="L27" s="203" t="s">
        <v>620</v>
      </c>
      <c r="M27" s="205" t="str">
        <f>VLOOKUP(L27,'fom-pulldowns'!$C$22:$D$31,2,FALSE)</f>
        <v>1</v>
      </c>
      <c r="N27" s="213" t="s">
        <v>622</v>
      </c>
      <c r="O27" s="215" t="str">
        <f>VLOOKUP(N27,'fom-pulldowns'!$C$22:$D$31,2,FALSE)</f>
        <v>5</v>
      </c>
    </row>
    <row r="28" spans="1:15" ht="12.75">
      <c r="A28" s="126" t="str">
        <f>HYPERLINK("https://docs.google.com/open?id=0B8aL7M45OFh_cEdnWFRTX3NYSmM","PFD @ Work Loyalty Program")</f>
        <v>PFD @ Work Loyalty Program</v>
      </c>
      <c r="B28" s="5"/>
      <c r="C28" s="7"/>
      <c r="D28" s="197" t="s">
        <v>722</v>
      </c>
      <c r="E28" s="165" t="str">
        <f t="shared" si="0"/>
        <v>0.40</v>
      </c>
      <c r="F28" s="173" t="s">
        <v>708</v>
      </c>
      <c r="G28" s="183" t="str">
        <f>VLOOKUP(F28,'fom-pulldowns'!$C$9:$D$18,2,FALSE)</f>
        <v>10</v>
      </c>
      <c r="H28" s="177" t="s">
        <v>620</v>
      </c>
      <c r="I28" s="187" t="str">
        <f>VLOOKUP(H28,'fom-pulldowns'!$C$22:$D$31,2,FALSE)</f>
        <v>1</v>
      </c>
      <c r="J28" s="192" t="s">
        <v>620</v>
      </c>
      <c r="K28" s="194" t="str">
        <f>VLOOKUP(J28,'fom-pulldowns'!$C$22:$D$31,2,FALSE)</f>
        <v>1</v>
      </c>
      <c r="L28" s="203" t="s">
        <v>620</v>
      </c>
      <c r="M28" s="205" t="str">
        <f>VLOOKUP(L28,'fom-pulldowns'!$C$22:$D$31,2,FALSE)</f>
        <v>1</v>
      </c>
      <c r="N28" s="213" t="s">
        <v>620</v>
      </c>
      <c r="O28" s="215" t="str">
        <f>VLOOKUP(N28,'fom-pulldowns'!$C$22:$D$31,2,FALSE)</f>
        <v>1</v>
      </c>
    </row>
    <row r="29" spans="1:15" ht="12.75">
      <c r="A29" s="126" t="str">
        <f>HYPERLINK("https://docs.google.com/document/d/1HCntQoAWKszav-lXkmcYbU7fXx-QusBstGAh5eHPOug/edit?usp=sharing","Merchandising Automation, Phase 2")</f>
        <v>Merchandising Automation, Phase 2</v>
      </c>
      <c r="B29" s="5"/>
      <c r="C29" s="7"/>
      <c r="D29" s="197" t="s">
        <v>811</v>
      </c>
      <c r="E29" s="165" t="str">
        <f t="shared" si="0"/>
        <v>1.53</v>
      </c>
      <c r="F29" s="173" t="s">
        <v>687</v>
      </c>
      <c r="G29" s="183" t="str">
        <f>VLOOKUP(F29,'fom-pulldowns'!$C$9:$D$18,2,FALSE)</f>
        <v>9</v>
      </c>
      <c r="H29" s="177" t="s">
        <v>664</v>
      </c>
      <c r="I29" s="187" t="str">
        <f>VLOOKUP(H29,'fom-pulldowns'!$C$22:$D$31,2,FALSE)</f>
        <v>4</v>
      </c>
      <c r="J29" s="192" t="s">
        <v>620</v>
      </c>
      <c r="K29" s="194" t="str">
        <f>VLOOKUP(J29,'fom-pulldowns'!$C$22:$D$31,2,FALSE)</f>
        <v>1</v>
      </c>
      <c r="L29" s="203" t="s">
        <v>620</v>
      </c>
      <c r="M29" s="205" t="str">
        <f>VLOOKUP(L29,'fom-pulldowns'!$C$22:$D$31,2,FALSE)</f>
        <v>1</v>
      </c>
      <c r="N29" s="213" t="s">
        <v>620</v>
      </c>
      <c r="O29" s="215" t="str">
        <f>VLOOKUP(N29,'fom-pulldowns'!$C$22:$D$31,2,FALSE)</f>
        <v>1</v>
      </c>
    </row>
    <row r="30" spans="1:15" ht="12.75">
      <c r="A30" s="126" t="str">
        <f>HYPERLINK("https://drive.google.com/file/d/0BygetqmL3yfITjZPSGgtU0hkTlk/edit?usp=sharing","Social Sign-In Enhancements")</f>
        <v>Social Sign-In Enhancements</v>
      </c>
      <c r="B30" s="5"/>
      <c r="C30" s="7"/>
      <c r="D30" s="197" t="s">
        <v>803</v>
      </c>
      <c r="E30" s="165" t="str">
        <f t="shared" si="0"/>
        <v>1.95</v>
      </c>
      <c r="F30" s="173" t="s">
        <v>614</v>
      </c>
      <c r="G30" s="183" t="str">
        <f>VLOOKUP(F30,'fom-pulldowns'!$C$9:$D$18,2,FALSE)</f>
        <v>5</v>
      </c>
      <c r="H30" s="177" t="s">
        <v>599</v>
      </c>
      <c r="I30" s="187" t="str">
        <f>VLOOKUP(H30,'fom-pulldowns'!$C$22:$D$31,2,FALSE)</f>
        <v>3</v>
      </c>
      <c r="J30" s="192" t="s">
        <v>620</v>
      </c>
      <c r="K30" s="194" t="str">
        <f>VLOOKUP(J30,'fom-pulldowns'!$C$22:$D$31,2,FALSE)</f>
        <v>1</v>
      </c>
      <c r="L30" s="203" t="s">
        <v>620</v>
      </c>
      <c r="M30" s="205" t="str">
        <f>VLOOKUP(L30,'fom-pulldowns'!$C$22:$D$31,2,FALSE)</f>
        <v>1</v>
      </c>
      <c r="N30" s="213" t="s">
        <v>620</v>
      </c>
      <c r="O30" s="215" t="str">
        <f>VLOOKUP(N30,'fom-pulldowns'!$C$22:$D$31,2,FALSE)</f>
        <v>1</v>
      </c>
    </row>
    <row r="31" spans="1:15" ht="12.75">
      <c r="A31" s="323" t="s">
        <v>844</v>
      </c>
      <c r="B31" s="347"/>
      <c r="C31" s="348"/>
      <c r="D31" s="349"/>
      <c r="E31" s="350"/>
      <c r="F31" s="351"/>
      <c r="G31" s="352"/>
      <c r="H31" s="353"/>
      <c r="I31" s="347"/>
      <c r="J31" s="353"/>
      <c r="K31" s="347"/>
      <c r="L31" s="353"/>
      <c r="M31" s="347"/>
      <c r="N31" s="353"/>
      <c r="O31" s="347"/>
    </row>
    <row r="32" spans="1:15" ht="12.75">
      <c r="A32" s="8" t="s">
        <v>847</v>
      </c>
      <c r="B32" s="5"/>
      <c r="C32" s="7"/>
      <c r="D32" s="216"/>
      <c r="E32" s="165" t="str">
        <f aca="true" t="shared" si="1" ref="E32:E33">((I32+K32+M32+O32)/(G32))+(IF(MID(D32,1,1)="Y",1,0)+IF(MID(D32,3,1)="Y",1,0)+IF(MID(D32,5,1)="Y",1,0)+IF(MID(D32,7,1)="Y",1,0))/4</f>
        <v>4.00</v>
      </c>
      <c r="F32" s="173" t="s">
        <v>621</v>
      </c>
      <c r="G32" s="254">
        <v>2</v>
      </c>
      <c r="H32" s="177" t="s">
        <v>728</v>
      </c>
      <c r="I32" s="357">
        <v>4</v>
      </c>
      <c r="J32" s="192" t="s">
        <v>599</v>
      </c>
      <c r="K32" s="275">
        <v>2</v>
      </c>
      <c r="L32" s="203" t="s">
        <v>620</v>
      </c>
      <c r="M32" s="242">
        <v>1</v>
      </c>
      <c r="N32" s="213" t="s">
        <v>620</v>
      </c>
      <c r="O32" s="247">
        <v>1</v>
      </c>
    </row>
    <row r="33" spans="1:15" ht="12.75">
      <c r="A33" s="126" t="str">
        <f>HYPERLINK("https://docs.google.com/file/d/0B8aL7M45OFh_bHVJU0M2QlIycXc/edit?usp=sharing","Site Performance Optimization")</f>
        <v>Site Performance Optimization</v>
      </c>
      <c r="B33" s="5"/>
      <c r="C33" s="7"/>
      <c r="D33" s="197" t="s">
        <v>704</v>
      </c>
      <c r="E33" s="165" t="str">
        <f t="shared" si="1"/>
        <v>4.90</v>
      </c>
      <c r="F33" s="173" t="s">
        <v>708</v>
      </c>
      <c r="G33" s="183" t="str">
        <f>VLOOKUP(F33,'fom-pulldowns'!$C$9:$D$18,2,FALSE)</f>
        <v>10</v>
      </c>
      <c r="H33" s="177" t="s">
        <v>689</v>
      </c>
      <c r="I33" s="187" t="str">
        <f>VLOOKUP(H33,'fom-pulldowns'!$C$22:$D$31,2,FALSE)</f>
        <v>10</v>
      </c>
      <c r="J33" s="192" t="s">
        <v>689</v>
      </c>
      <c r="K33" s="194" t="str">
        <f>VLOOKUP(J33,'fom-pulldowns'!$C$22:$D$31,2,FALSE)</f>
        <v>10</v>
      </c>
      <c r="L33" s="203" t="s">
        <v>696</v>
      </c>
      <c r="M33" s="205" t="str">
        <f>VLOOKUP(L33,'fom-pulldowns'!$C$22:$D$31,2,FALSE)</f>
        <v>9</v>
      </c>
      <c r="N33" s="213" t="s">
        <v>689</v>
      </c>
      <c r="O33" s="215" t="str">
        <f>VLOOKUP(N33,'fom-pulldowns'!$C$22:$D$31,2,FALSE)</f>
        <v>10</v>
      </c>
    </row>
    <row r="34" spans="1:15" ht="12.75">
      <c r="A34" s="5"/>
      <c r="B34" s="5"/>
      <c r="C34" s="7"/>
      <c r="D34" s="216"/>
      <c r="E34" s="165"/>
      <c r="F34" s="184"/>
      <c r="G34" s="282"/>
      <c r="H34" s="284"/>
      <c r="I34" s="316"/>
      <c r="J34" s="318"/>
      <c r="K34" s="277"/>
      <c r="L34" s="320"/>
      <c r="M34" s="321"/>
      <c r="N34" s="358"/>
      <c r="O34" s="359"/>
    </row>
    <row r="35" spans="1:15" ht="12.75">
      <c r="A35" s="82" t="str">
        <f>HYPERLINK("","Redesign: BR")</f>
        <v>Redesign: BR</v>
      </c>
      <c r="B35" s="5"/>
      <c r="C35" s="7"/>
      <c r="D35" s="197" t="s">
        <v>704</v>
      </c>
      <c r="E35" s="165" t="str">
        <f aca="true" t="shared" si="2" ref="E35:E64">((I35+K35+M35+O35)/(G35))+(IF(MID(D35,1,1)="Y",1,0)+IF(MID(D35,3,1)="Y",1,0)+IF(MID(D35,5,1)="Y",1,0)+IF(MID(D35,7,1)="Y",1,0))/4</f>
        <v>1.67</v>
      </c>
      <c r="F35" s="173" t="s">
        <v>687</v>
      </c>
      <c r="G35" s="183" t="str">
        <f>VLOOKUP(F35,'fom-pulldowns'!$C$9:$D$18,2,FALSE)</f>
        <v>9</v>
      </c>
      <c r="H35" s="177" t="s">
        <v>599</v>
      </c>
      <c r="I35" s="187" t="str">
        <f>VLOOKUP(H35,'fom-pulldowns'!$C$22:$D$31,2,FALSE)</f>
        <v>3</v>
      </c>
      <c r="J35" s="192" t="s">
        <v>620</v>
      </c>
      <c r="K35" s="194" t="str">
        <f>VLOOKUP(J35,'fom-pulldowns'!$C$22:$D$31,2,FALSE)</f>
        <v>1</v>
      </c>
      <c r="L35" s="203" t="s">
        <v>620</v>
      </c>
      <c r="M35" s="205" t="str">
        <f>VLOOKUP(L35,'fom-pulldowns'!$C$22:$D$31,2,FALSE)</f>
        <v>1</v>
      </c>
      <c r="N35" s="213" t="s">
        <v>620</v>
      </c>
      <c r="O35" s="215" t="str">
        <f>VLOOKUP(N35,'fom-pulldowns'!$C$22:$D$31,2,FALSE)</f>
        <v>1</v>
      </c>
    </row>
    <row r="36" spans="1:15" ht="12.75">
      <c r="A36" s="126" t="str">
        <f>HYPERLINK("https://docs.google.com/document/d/1qZ8_nM4juWRr_qUkkYoe8NY2kQuwUTIolUo2RibNC7w/edit?usp=sharing","Cart Improvements, Phase 2: Cart Level Upsell")</f>
        <v>Cart Improvements, Phase 2: Cart Level Upsell</v>
      </c>
      <c r="B36" s="5"/>
      <c r="C36" s="7"/>
      <c r="D36" s="197" t="s">
        <v>858</v>
      </c>
      <c r="E36" s="165" t="str">
        <f t="shared" si="2"/>
        <v>1.64</v>
      </c>
      <c r="F36" s="173" t="s">
        <v>691</v>
      </c>
      <c r="G36" s="183" t="str">
        <f>VLOOKUP(F36,'fom-pulldowns'!$C$9:$D$18,2,FALSE)</f>
        <v>7</v>
      </c>
      <c r="H36" s="177" t="s">
        <v>599</v>
      </c>
      <c r="I36" s="187" t="str">
        <f>VLOOKUP(H36,'fom-pulldowns'!$C$22:$D$31,2,FALSE)</f>
        <v>3</v>
      </c>
      <c r="J36" s="192" t="s">
        <v>652</v>
      </c>
      <c r="K36" s="194" t="str">
        <f>VLOOKUP(J36,'fom-pulldowns'!$C$22:$D$31,2,FALSE)</f>
        <v>2</v>
      </c>
      <c r="L36" s="203" t="s">
        <v>620</v>
      </c>
      <c r="M36" s="205" t="str">
        <f>VLOOKUP(L36,'fom-pulldowns'!$C$22:$D$31,2,FALSE)</f>
        <v>1</v>
      </c>
      <c r="N36" s="213" t="s">
        <v>652</v>
      </c>
      <c r="O36" s="215" t="str">
        <f>VLOOKUP(N36,'fom-pulldowns'!$C$22:$D$31,2,FALSE)</f>
        <v>2</v>
      </c>
    </row>
    <row r="37" spans="1:15" ht="12.75">
      <c r="A37" s="82" t="str">
        <f>HYPERLINK("","Redesign: JP")</f>
        <v>Redesign: JP</v>
      </c>
      <c r="B37" s="5"/>
      <c r="C37" s="7"/>
      <c r="D37" s="197" t="s">
        <v>704</v>
      </c>
      <c r="E37" s="165" t="str">
        <f t="shared" si="2"/>
        <v>1.89</v>
      </c>
      <c r="F37" s="173" t="s">
        <v>687</v>
      </c>
      <c r="G37" s="183" t="str">
        <f>VLOOKUP(F37,'fom-pulldowns'!$C$9:$D$18,2,FALSE)</f>
        <v>9</v>
      </c>
      <c r="H37" s="177" t="s">
        <v>620</v>
      </c>
      <c r="I37" s="187" t="str">
        <f>VLOOKUP(H37,'fom-pulldowns'!$C$22:$D$31,2,FALSE)</f>
        <v>1</v>
      </c>
      <c r="J37" s="192" t="s">
        <v>620</v>
      </c>
      <c r="K37" s="194" t="str">
        <f>VLOOKUP(J37,'fom-pulldowns'!$C$22:$D$31,2,FALSE)</f>
        <v>1</v>
      </c>
      <c r="L37" s="203" t="s">
        <v>620</v>
      </c>
      <c r="M37" s="205" t="str">
        <f>VLOOKUP(L37,'fom-pulldowns'!$C$22:$D$31,2,FALSE)</f>
        <v>1</v>
      </c>
      <c r="N37" s="213" t="s">
        <v>622</v>
      </c>
      <c r="O37" s="215" t="str">
        <f>VLOOKUP(N37,'fom-pulldowns'!$C$22:$D$31,2,FALSE)</f>
        <v>5</v>
      </c>
    </row>
    <row r="38" spans="1:15" ht="12.75">
      <c r="A38" s="126" t="str">
        <f>HYPERLINK("https://docs.google.com/document/d/1xfrDgi3yaInbSfXI0g2cH3a4BQhf9xIKnbGyP2_W3B0/edit?usp=sharing","Demandware Transactional Email Redesign")</f>
        <v>Demandware Transactional Email Redesign</v>
      </c>
      <c r="B38" s="5"/>
      <c r="C38" s="7"/>
      <c r="D38" s="197" t="s">
        <v>704</v>
      </c>
      <c r="E38" s="165" t="str">
        <f t="shared" si="2"/>
        <v>2.71</v>
      </c>
      <c r="F38" s="173" t="s">
        <v>691</v>
      </c>
      <c r="G38" s="183" t="str">
        <f>VLOOKUP(F38,'fom-pulldowns'!$C$9:$D$18,2,FALSE)</f>
        <v>7</v>
      </c>
      <c r="H38" s="177" t="s">
        <v>622</v>
      </c>
      <c r="I38" s="187" t="str">
        <f>VLOOKUP(H38,'fom-pulldowns'!$C$22:$D$31,2,FALSE)</f>
        <v>5</v>
      </c>
      <c r="J38" s="192" t="s">
        <v>652</v>
      </c>
      <c r="K38" s="194" t="str">
        <f>VLOOKUP(J38,'fom-pulldowns'!$C$22:$D$31,2,FALSE)</f>
        <v>2</v>
      </c>
      <c r="L38" s="203" t="s">
        <v>652</v>
      </c>
      <c r="M38" s="205" t="str">
        <f>VLOOKUP(L38,'fom-pulldowns'!$C$22:$D$31,2,FALSE)</f>
        <v>2</v>
      </c>
      <c r="N38" s="213" t="s">
        <v>599</v>
      </c>
      <c r="O38" s="215" t="str">
        <f>VLOOKUP(N38,'fom-pulldowns'!$C$22:$D$31,2,FALSE)</f>
        <v>3</v>
      </c>
    </row>
    <row r="39" spans="1:15" ht="12.75">
      <c r="A39" s="126" t="str">
        <f>HYPERLINK("https://docs.google.com/document/d/1RhA0d2DdGctUOhuJ1UxbTKa2TAnPh97ZCPi4EPZH3io/edit?usp=sharing","Tablet Optimization")</f>
        <v>Tablet Optimization</v>
      </c>
      <c r="B39" s="5"/>
      <c r="C39" s="7"/>
      <c r="D39" s="197" t="s">
        <v>835</v>
      </c>
      <c r="E39" s="165" t="str">
        <f t="shared" si="2"/>
        <v>3.75</v>
      </c>
      <c r="F39" s="173" t="s">
        <v>614</v>
      </c>
      <c r="G39" s="183" t="str">
        <f>VLOOKUP(F39,'fom-pulldowns'!$C$9:$D$18,2,FALSE)</f>
        <v>5</v>
      </c>
      <c r="H39" s="177" t="s">
        <v>664</v>
      </c>
      <c r="I39" s="187" t="str">
        <f>VLOOKUP(H39,'fom-pulldowns'!$C$22:$D$31,2,FALSE)</f>
        <v>4</v>
      </c>
      <c r="J39" s="192" t="s">
        <v>728</v>
      </c>
      <c r="K39" s="194" t="str">
        <f>VLOOKUP(J39,'fom-pulldowns'!$C$22:$D$31,2,FALSE)</f>
        <v>6</v>
      </c>
      <c r="L39" s="203" t="s">
        <v>664</v>
      </c>
      <c r="M39" s="205" t="str">
        <f>VLOOKUP(L39,'fom-pulldowns'!$C$22:$D$31,2,FALSE)</f>
        <v>4</v>
      </c>
      <c r="N39" s="213" t="s">
        <v>620</v>
      </c>
      <c r="O39" s="215" t="str">
        <f>VLOOKUP(N39,'fom-pulldowns'!$C$22:$D$31,2,FALSE)</f>
        <v>1</v>
      </c>
    </row>
    <row r="40" spans="1:15" ht="12.75">
      <c r="A40" s="126" t="str">
        <f>HYPERLINK("https://docs.google.com/document/d/1b5RTyL2onHp3jvtYy74zNKwcbAu88fWqM2Ewe1Q4Inc/edit","JP Taxation Change")</f>
        <v>JP Taxation Change</v>
      </c>
      <c r="B40" s="5"/>
      <c r="C40" s="7"/>
      <c r="D40" s="197" t="s">
        <v>636</v>
      </c>
      <c r="E40" s="165" t="str">
        <f t="shared" si="2"/>
        <v>1.05</v>
      </c>
      <c r="F40" s="173" t="s">
        <v>708</v>
      </c>
      <c r="G40" s="183" t="str">
        <f>VLOOKUP(F40,'fom-pulldowns'!$C$9:$D$18,2,FALSE)</f>
        <v>10</v>
      </c>
      <c r="H40" s="177" t="s">
        <v>620</v>
      </c>
      <c r="I40" s="187" t="str">
        <f>VLOOKUP(H40,'fom-pulldowns'!$C$22:$D$31,2,FALSE)</f>
        <v>1</v>
      </c>
      <c r="J40" s="192" t="s">
        <v>620</v>
      </c>
      <c r="K40" s="194" t="str">
        <f>VLOOKUP(J40,'fom-pulldowns'!$C$22:$D$31,2,FALSE)</f>
        <v>1</v>
      </c>
      <c r="L40" s="203" t="s">
        <v>620</v>
      </c>
      <c r="M40" s="205" t="str">
        <f>VLOOKUP(L40,'fom-pulldowns'!$C$22:$D$31,2,FALSE)</f>
        <v>1</v>
      </c>
      <c r="N40" s="213" t="s">
        <v>622</v>
      </c>
      <c r="O40" s="215" t="str">
        <f>VLOOKUP(N40,'fom-pulldowns'!$C$22:$D$31,2,FALSE)</f>
        <v>5</v>
      </c>
    </row>
    <row r="41" spans="1:15" ht="12.75">
      <c r="A41" s="126" t="str">
        <f>HYPERLINK("https://docs.google.com/document/d/1HgfI1xXWTfBifEGBfiR5bwBydcPnz38wvEIClDqM134/edit#heading=h.gjdgxs","Dynamic Size Chips")</f>
        <v>Dynamic Size Chips</v>
      </c>
      <c r="B41" s="5"/>
      <c r="C41" s="7"/>
      <c r="D41" s="197" t="s">
        <v>636</v>
      </c>
      <c r="E41" s="165" t="str">
        <f t="shared" si="2"/>
        <v>1.05</v>
      </c>
      <c r="F41" s="173" t="s">
        <v>614</v>
      </c>
      <c r="G41" s="183" t="str">
        <f>VLOOKUP(F41,'fom-pulldowns'!$C$9:$D$18,2,FALSE)</f>
        <v>5</v>
      </c>
      <c r="H41" s="177" t="s">
        <v>620</v>
      </c>
      <c r="I41" s="187" t="str">
        <f>VLOOKUP(H41,'fom-pulldowns'!$C$22:$D$31,2,FALSE)</f>
        <v>1</v>
      </c>
      <c r="J41" s="192" t="s">
        <v>620</v>
      </c>
      <c r="K41" s="194" t="str">
        <f>VLOOKUP(J41,'fom-pulldowns'!$C$22:$D$31,2,FALSE)</f>
        <v>1</v>
      </c>
      <c r="L41" s="203" t="s">
        <v>620</v>
      </c>
      <c r="M41" s="205" t="str">
        <f>VLOOKUP(L41,'fom-pulldowns'!$C$22:$D$31,2,FALSE)</f>
        <v>1</v>
      </c>
      <c r="N41" s="213" t="s">
        <v>620</v>
      </c>
      <c r="O41" s="215" t="str">
        <f>VLOOKUP(N41,'fom-pulldowns'!$C$22:$D$31,2,FALSE)</f>
        <v>1</v>
      </c>
    </row>
    <row r="42" spans="1:15" ht="12.75">
      <c r="A42" s="126" t="str">
        <f>HYPERLINK("https://docs.google.com/document/d/1hzxOGxFGkZuvJsEVfvDFDrgiauv7AS9lor6WlOFsBpI/edit?usp=sharing","SAP Card Connect Integration")</f>
        <v>SAP Card Connect Integration</v>
      </c>
      <c r="B42" s="5"/>
      <c r="C42" s="7"/>
      <c r="D42" s="197" t="s">
        <v>862</v>
      </c>
      <c r="E42" s="165" t="str">
        <f t="shared" si="2"/>
        <v>1.80</v>
      </c>
      <c r="F42" s="173" t="s">
        <v>708</v>
      </c>
      <c r="G42" s="183" t="str">
        <f>VLOOKUP(F42,'fom-pulldowns'!$C$9:$D$18,2,FALSE)</f>
        <v>10</v>
      </c>
      <c r="H42" s="177" t="s">
        <v>689</v>
      </c>
      <c r="I42" s="187" t="str">
        <f>VLOOKUP(H42,'fom-pulldowns'!$C$22:$D$31,2,FALSE)</f>
        <v>10</v>
      </c>
      <c r="J42" s="192" t="s">
        <v>620</v>
      </c>
      <c r="K42" s="194" t="str">
        <f>VLOOKUP(J42,'fom-pulldowns'!$C$22:$D$31,2,FALSE)</f>
        <v>1</v>
      </c>
      <c r="L42" s="203" t="s">
        <v>620</v>
      </c>
      <c r="M42" s="205" t="str">
        <f>VLOOKUP(L42,'fom-pulldowns'!$C$22:$D$31,2,FALSE)</f>
        <v>1</v>
      </c>
      <c r="N42" s="213" t="s">
        <v>620</v>
      </c>
      <c r="O42" s="215" t="str">
        <f>VLOOKUP(N42,'fom-pulldowns'!$C$22:$D$31,2,FALSE)</f>
        <v>1</v>
      </c>
    </row>
    <row r="43" spans="1:15" ht="12.75">
      <c r="A43" s="126" t="str">
        <f>HYPERLINK("https://docs.google.com/document/d/1kjJhDEmeJsaLKOBpoKHm0wqxAnw3AVDmJfmw650r7nM/edit#","Banner Optimization")</f>
        <v>Banner Optimization</v>
      </c>
      <c r="B43" s="5"/>
      <c r="C43" s="7"/>
      <c r="D43" s="197" t="s">
        <v>764</v>
      </c>
      <c r="E43" s="165" t="str">
        <f t="shared" si="2"/>
        <v>3.10</v>
      </c>
      <c r="F43" s="173" t="s">
        <v>614</v>
      </c>
      <c r="G43" s="183" t="str">
        <f>VLOOKUP(F43,'fom-pulldowns'!$C$9:$D$18,2,FALSE)</f>
        <v>5</v>
      </c>
      <c r="H43" s="177" t="s">
        <v>622</v>
      </c>
      <c r="I43" s="187" t="str">
        <f>VLOOKUP(H43,'fom-pulldowns'!$C$22:$D$31,2,FALSE)</f>
        <v>5</v>
      </c>
      <c r="J43" s="192" t="s">
        <v>664</v>
      </c>
      <c r="K43" s="194" t="str">
        <f>VLOOKUP(J43,'fom-pulldowns'!$C$22:$D$31,2,FALSE)</f>
        <v>4</v>
      </c>
      <c r="L43" s="203" t="s">
        <v>620</v>
      </c>
      <c r="M43" s="205" t="str">
        <f>VLOOKUP(L43,'fom-pulldowns'!$C$22:$D$31,2,FALSE)</f>
        <v>1</v>
      </c>
      <c r="N43" s="213" t="s">
        <v>599</v>
      </c>
      <c r="O43" s="215" t="str">
        <f>VLOOKUP(N43,'fom-pulldowns'!$C$22:$D$31,2,FALSE)</f>
        <v>3</v>
      </c>
    </row>
    <row r="44" spans="1:15" ht="12.75">
      <c r="A44" s="126" t="str">
        <f>HYPERLINK("https://docs.google.com/document/d/1mbWjoZszMnSaTdRbuSjUiDsbsjpJdDoOxZzr09s3SV4/edit#","LinkShare: Automated Reconciliation")</f>
        <v>LinkShare: Automated Reconciliation</v>
      </c>
      <c r="B44" s="5"/>
      <c r="C44" s="7"/>
      <c r="D44" s="197" t="s">
        <v>764</v>
      </c>
      <c r="E44" s="165" t="str">
        <f t="shared" si="2"/>
        <v>2.50</v>
      </c>
      <c r="F44" s="173" t="s">
        <v>687</v>
      </c>
      <c r="G44" s="183" t="str">
        <f>VLOOKUP(F44,'fom-pulldowns'!$C$9:$D$18,2,FALSE)</f>
        <v>9</v>
      </c>
      <c r="H44" s="177" t="s">
        <v>620</v>
      </c>
      <c r="I44" s="187" t="str">
        <f>VLOOKUP(H44,'fom-pulldowns'!$C$22:$D$31,2,FALSE)</f>
        <v>1</v>
      </c>
      <c r="J44" s="192" t="s">
        <v>728</v>
      </c>
      <c r="K44" s="194" t="str">
        <f>VLOOKUP(J44,'fom-pulldowns'!$C$22:$D$31,2,FALSE)</f>
        <v>6</v>
      </c>
      <c r="L44" s="203" t="s">
        <v>689</v>
      </c>
      <c r="M44" s="205" t="str">
        <f>VLOOKUP(L44,'fom-pulldowns'!$C$22:$D$31,2,FALSE)</f>
        <v>10</v>
      </c>
      <c r="N44" s="213" t="s">
        <v>620</v>
      </c>
      <c r="O44" s="215" t="str">
        <f>VLOOKUP(N44,'fom-pulldowns'!$C$22:$D$31,2,FALSE)</f>
        <v>1</v>
      </c>
    </row>
    <row r="45" spans="1:15" ht="12.75">
      <c r="A45" s="126" t="str">
        <f>HYPERLINK("https://docs.google.com/document/d/1Jse7NI60aV7WVV7CxY4jqsYEfdvkBGgHZcNXoHwRu6o/edit#heading=h.30j0zll","Adyen Rollout for AU")</f>
        <v>Adyen Rollout for AU</v>
      </c>
      <c r="B45" s="5"/>
      <c r="C45" s="7"/>
      <c r="D45" s="197" t="s">
        <v>803</v>
      </c>
      <c r="E45" s="165" t="str">
        <f t="shared" si="2"/>
        <v>2.61</v>
      </c>
      <c r="F45" s="173" t="s">
        <v>691</v>
      </c>
      <c r="G45" s="183" t="str">
        <f>VLOOKUP(F45,'fom-pulldowns'!$C$9:$D$18,2,FALSE)</f>
        <v>7</v>
      </c>
      <c r="H45" s="177" t="s">
        <v>620</v>
      </c>
      <c r="I45" s="187" t="str">
        <f>VLOOKUP(H45,'fom-pulldowns'!$C$22:$D$31,2,FALSE)</f>
        <v>1</v>
      </c>
      <c r="J45" s="192" t="s">
        <v>620</v>
      </c>
      <c r="K45" s="194" t="str">
        <f>VLOOKUP(J45,'fom-pulldowns'!$C$22:$D$31,2,FALSE)</f>
        <v>1</v>
      </c>
      <c r="L45" s="203" t="s">
        <v>689</v>
      </c>
      <c r="M45" s="205" t="str">
        <f>VLOOKUP(L45,'fom-pulldowns'!$C$22:$D$31,2,FALSE)</f>
        <v>10</v>
      </c>
      <c r="N45" s="213" t="s">
        <v>620</v>
      </c>
      <c r="O45" s="215" t="str">
        <f>VLOOKUP(N45,'fom-pulldowns'!$C$22:$D$31,2,FALSE)</f>
        <v>1</v>
      </c>
    </row>
    <row r="46" spans="1:15" ht="12.75">
      <c r="A46" s="126" t="str">
        <f>HYPERLINK("https://docs.google.com/document/d/13AKjC4v9Vs4J9OaXQ8fOsFCvOPcTzFdTfBcYYldiN_Y/edit#","Get US BazaarVoice Reviews into AU, SG")</f>
        <v>Get US BazaarVoice Reviews into AU, SG</v>
      </c>
      <c r="B46" s="5"/>
      <c r="C46" s="7"/>
      <c r="D46" s="197" t="s">
        <v>764</v>
      </c>
      <c r="E46" s="165" t="str">
        <f t="shared" si="2"/>
        <v>1.17</v>
      </c>
      <c r="F46" s="173" t="s">
        <v>687</v>
      </c>
      <c r="G46" s="183" t="str">
        <f>VLOOKUP(F46,'fom-pulldowns'!$C$9:$D$18,2,FALSE)</f>
        <v>9</v>
      </c>
      <c r="H46" s="177" t="s">
        <v>620</v>
      </c>
      <c r="I46" s="187" t="str">
        <f>VLOOKUP(H46,'fom-pulldowns'!$C$22:$D$31,2,FALSE)</f>
        <v>1</v>
      </c>
      <c r="J46" s="192" t="s">
        <v>652</v>
      </c>
      <c r="K46" s="194" t="str">
        <f>VLOOKUP(J46,'fom-pulldowns'!$C$22:$D$31,2,FALSE)</f>
        <v>2</v>
      </c>
      <c r="L46" s="203" t="s">
        <v>652</v>
      </c>
      <c r="M46" s="205" t="str">
        <f>VLOOKUP(L46,'fom-pulldowns'!$C$22:$D$31,2,FALSE)</f>
        <v>2</v>
      </c>
      <c r="N46" s="213" t="s">
        <v>620</v>
      </c>
      <c r="O46" s="215" t="str">
        <f>VLOOKUP(N46,'fom-pulldowns'!$C$22:$D$31,2,FALSE)</f>
        <v>1</v>
      </c>
    </row>
    <row r="47" spans="1:15" ht="12.75">
      <c r="A47" s="82" t="str">
        <f>HYPERLINK("","Mobile Site Global Rollout, Wave 2")</f>
        <v>Mobile Site Global Rollout, Wave 2</v>
      </c>
      <c r="B47" s="5"/>
      <c r="C47" s="7"/>
      <c r="D47" s="197" t="s">
        <v>835</v>
      </c>
      <c r="E47" s="165" t="str">
        <f t="shared" si="2"/>
        <v>1.55</v>
      </c>
      <c r="F47" s="173" t="s">
        <v>614</v>
      </c>
      <c r="G47" s="183" t="str">
        <f>VLOOKUP(F47,'fom-pulldowns'!$C$9:$D$18,2,FALSE)</f>
        <v>5</v>
      </c>
      <c r="H47" s="177" t="s">
        <v>620</v>
      </c>
      <c r="I47" s="187" t="str">
        <f>VLOOKUP(H47,'fom-pulldowns'!$C$22:$D$31,2,FALSE)</f>
        <v>1</v>
      </c>
      <c r="J47" s="192" t="s">
        <v>620</v>
      </c>
      <c r="K47" s="194" t="str">
        <f>VLOOKUP(J47,'fom-pulldowns'!$C$22:$D$31,2,FALSE)</f>
        <v>1</v>
      </c>
      <c r="L47" s="203" t="s">
        <v>620</v>
      </c>
      <c r="M47" s="205" t="str">
        <f>VLOOKUP(L47,'fom-pulldowns'!$C$22:$D$31,2,FALSE)</f>
        <v>1</v>
      </c>
      <c r="N47" s="213" t="s">
        <v>620</v>
      </c>
      <c r="O47" s="215" t="str">
        <f>VLOOKUP(N47,'fom-pulldowns'!$C$22:$D$31,2,FALSE)</f>
        <v>1</v>
      </c>
    </row>
    <row r="48" spans="1:15" ht="12.75">
      <c r="A48" s="126" t="str">
        <f>HYPERLINK("https://docs.google.com/document/d/1owHK5uUp_zwCFA4OtxC0AdsM8aZb9yCzAhpZLGsF2i8/edit","Cart Improvements")</f>
        <v>Cart Improvements</v>
      </c>
      <c r="B48" s="5"/>
      <c r="C48" s="7"/>
      <c r="D48" s="197" t="s">
        <v>704</v>
      </c>
      <c r="E48" s="165" t="str">
        <f t="shared" si="2"/>
        <v>4.14</v>
      </c>
      <c r="F48" s="173" t="s">
        <v>691</v>
      </c>
      <c r="G48" s="183" t="str">
        <f>VLOOKUP(F48,'fom-pulldowns'!$C$9:$D$18,2,FALSE)</f>
        <v>7</v>
      </c>
      <c r="H48" s="177" t="s">
        <v>806</v>
      </c>
      <c r="I48" s="187" t="str">
        <f>VLOOKUP(H48,'fom-pulldowns'!$C$22:$D$31,2,FALSE)</f>
        <v>8</v>
      </c>
      <c r="J48" s="192" t="s">
        <v>622</v>
      </c>
      <c r="K48" s="194" t="str">
        <f>VLOOKUP(J48,'fom-pulldowns'!$C$22:$D$31,2,FALSE)</f>
        <v>5</v>
      </c>
      <c r="L48" s="203" t="s">
        <v>664</v>
      </c>
      <c r="M48" s="205" t="str">
        <f>VLOOKUP(L48,'fom-pulldowns'!$C$22:$D$31,2,FALSE)</f>
        <v>4</v>
      </c>
      <c r="N48" s="213" t="s">
        <v>622</v>
      </c>
      <c r="O48" s="215" t="str">
        <f>VLOOKUP(N48,'fom-pulldowns'!$C$22:$D$31,2,FALSE)</f>
        <v>5</v>
      </c>
    </row>
    <row r="49" spans="1:15" ht="12.75">
      <c r="A49" s="126" t="str">
        <f>HYPERLINK("https://docs.google.com/document/d/1q-meuyAgIiGw8ha1-Avq9lJUhwvzWp1mkg0BDtxkIKs/edit","Checkout Redesign International")</f>
        <v>Checkout Redesign International</v>
      </c>
      <c r="B49" s="5"/>
      <c r="C49" s="7"/>
      <c r="D49" s="197" t="s">
        <v>835</v>
      </c>
      <c r="E49" s="165" t="str">
        <f t="shared" si="2"/>
        <v>3.04</v>
      </c>
      <c r="F49" s="173" t="s">
        <v>691</v>
      </c>
      <c r="G49" s="183" t="str">
        <f>VLOOKUP(F49,'fom-pulldowns'!$C$9:$D$18,2,FALSE)</f>
        <v>7</v>
      </c>
      <c r="H49" s="177" t="s">
        <v>620</v>
      </c>
      <c r="I49" s="187" t="str">
        <f>VLOOKUP(H49,'fom-pulldowns'!$C$22:$D$31,2,FALSE)</f>
        <v>1</v>
      </c>
      <c r="J49" s="192" t="s">
        <v>728</v>
      </c>
      <c r="K49" s="194" t="str">
        <f>VLOOKUP(J49,'fom-pulldowns'!$C$22:$D$31,2,FALSE)</f>
        <v>6</v>
      </c>
      <c r="L49" s="203" t="s">
        <v>599</v>
      </c>
      <c r="M49" s="205" t="str">
        <f>VLOOKUP(L49,'fom-pulldowns'!$C$22:$D$31,2,FALSE)</f>
        <v>3</v>
      </c>
      <c r="N49" s="213" t="s">
        <v>728</v>
      </c>
      <c r="O49" s="215" t="str">
        <f>VLOOKUP(N49,'fom-pulldowns'!$C$22:$D$31,2,FALSE)</f>
        <v>6</v>
      </c>
    </row>
    <row r="50" spans="1:15" ht="12.75">
      <c r="A50" s="82" t="str">
        <f>HYPERLINK("","Redesign: KR")</f>
        <v>Redesign: KR</v>
      </c>
      <c r="B50" s="5"/>
      <c r="C50" s="7"/>
      <c r="D50" s="197" t="s">
        <v>704</v>
      </c>
      <c r="E50" s="165" t="str">
        <f t="shared" si="2"/>
        <v>1.78</v>
      </c>
      <c r="F50" s="173" t="s">
        <v>687</v>
      </c>
      <c r="G50" s="183" t="str">
        <f>VLOOKUP(F50,'fom-pulldowns'!$C$9:$D$18,2,FALSE)</f>
        <v>9</v>
      </c>
      <c r="H50" s="177" t="s">
        <v>620</v>
      </c>
      <c r="I50" s="187" t="str">
        <f>VLOOKUP(H50,'fom-pulldowns'!$C$22:$D$31,2,FALSE)</f>
        <v>1</v>
      </c>
      <c r="J50" s="192" t="s">
        <v>620</v>
      </c>
      <c r="K50" s="194" t="str">
        <f>VLOOKUP(J50,'fom-pulldowns'!$C$22:$D$31,2,FALSE)</f>
        <v>1</v>
      </c>
      <c r="L50" s="203" t="s">
        <v>664</v>
      </c>
      <c r="M50" s="205" t="str">
        <f>VLOOKUP(L50,'fom-pulldowns'!$C$22:$D$31,2,FALSE)</f>
        <v>4</v>
      </c>
      <c r="N50" s="213" t="s">
        <v>620</v>
      </c>
      <c r="O50" s="215" t="str">
        <f>VLOOKUP(N50,'fom-pulldowns'!$C$22:$D$31,2,FALSE)</f>
        <v>1</v>
      </c>
    </row>
    <row r="51" spans="1:15" ht="12.75">
      <c r="A51" s="126" t="str">
        <f>HYPERLINK("https://docs.google.com/document/d/1I0sLy-An5bwJJZZ1MAyvLBzJ98KRoE2Et1RUbNP8Vok/edit","Improved newsletter registration workflow APAC")</f>
        <v>Improved newsletter registration workflow APAC</v>
      </c>
      <c r="B51" s="5"/>
      <c r="C51" s="7"/>
      <c r="D51" s="197" t="s">
        <v>704</v>
      </c>
      <c r="E51" s="165" t="str">
        <f t="shared" si="2"/>
        <v>1.86</v>
      </c>
      <c r="F51" s="173" t="s">
        <v>691</v>
      </c>
      <c r="G51" s="183" t="str">
        <f>VLOOKUP(F51,'fom-pulldowns'!$C$9:$D$18,2,FALSE)</f>
        <v>7</v>
      </c>
      <c r="H51" s="177" t="s">
        <v>620</v>
      </c>
      <c r="I51" s="187" t="str">
        <f>VLOOKUP(H51,'fom-pulldowns'!$C$22:$D$31,2,FALSE)</f>
        <v>1</v>
      </c>
      <c r="J51" s="192" t="s">
        <v>620</v>
      </c>
      <c r="K51" s="194" t="str">
        <f>VLOOKUP(J51,'fom-pulldowns'!$C$22:$D$31,2,FALSE)</f>
        <v>1</v>
      </c>
      <c r="L51" s="203" t="s">
        <v>599</v>
      </c>
      <c r="M51" s="205" t="str">
        <f>VLOOKUP(L51,'fom-pulldowns'!$C$22:$D$31,2,FALSE)</f>
        <v>3</v>
      </c>
      <c r="N51" s="213" t="s">
        <v>620</v>
      </c>
      <c r="O51" s="215" t="str">
        <f>VLOOKUP(N51,'fom-pulldowns'!$C$22:$D$31,2,FALSE)</f>
        <v>1</v>
      </c>
    </row>
    <row r="52" spans="1:15" ht="12.75">
      <c r="A52" s="126" t="str">
        <f>HYPERLINK("https://docs.google.com/document/d/1hZwK2w37XEh6TRuqJKkWoxZPQpVHMXMLzvqUL_4GGWY/edit","CDN Optimization")</f>
        <v>CDN Optimization</v>
      </c>
      <c r="B52" s="5"/>
      <c r="C52" s="7"/>
      <c r="D52" s="197" t="s">
        <v>803</v>
      </c>
      <c r="E52" s="165" t="str">
        <f t="shared" si="2"/>
        <v>1.75</v>
      </c>
      <c r="F52" s="173" t="s">
        <v>691</v>
      </c>
      <c r="G52" s="183" t="str">
        <f>VLOOKUP(F52,'fom-pulldowns'!$C$9:$D$18,2,FALSE)</f>
        <v>7</v>
      </c>
      <c r="H52" s="177" t="s">
        <v>620</v>
      </c>
      <c r="I52" s="187" t="str">
        <f>VLOOKUP(H52,'fom-pulldowns'!$C$22:$D$31,2,FALSE)</f>
        <v>1</v>
      </c>
      <c r="J52" s="192" t="s">
        <v>620</v>
      </c>
      <c r="K52" s="194" t="str">
        <f>VLOOKUP(J52,'fom-pulldowns'!$C$22:$D$31,2,FALSE)</f>
        <v>1</v>
      </c>
      <c r="L52" s="203" t="s">
        <v>664</v>
      </c>
      <c r="M52" s="205" t="str">
        <f>VLOOKUP(L52,'fom-pulldowns'!$C$22:$D$31,2,FALSE)</f>
        <v>4</v>
      </c>
      <c r="N52" s="213" t="s">
        <v>620</v>
      </c>
      <c r="O52" s="215" t="str">
        <f>VLOOKUP(N52,'fom-pulldowns'!$C$22:$D$31,2,FALSE)</f>
        <v>1</v>
      </c>
    </row>
    <row r="53" spans="1:15" ht="12.75">
      <c r="A53" s="126" t="str">
        <f>HYPERLINK("https://docs.google.com/document/d/1rRAIlK88FbcvZf6RXJUo9W8kCrTMRke_e916asw5gqo/edit","SEO Url Optimization")</f>
        <v>SEO Url Optimization</v>
      </c>
      <c r="B53" s="5"/>
      <c r="C53" s="7"/>
      <c r="D53" s="197" t="s">
        <v>803</v>
      </c>
      <c r="E53" s="165" t="str">
        <f t="shared" si="2"/>
        <v>2.75</v>
      </c>
      <c r="F53" s="173" t="s">
        <v>708</v>
      </c>
      <c r="G53" s="183" t="str">
        <f>VLOOKUP(F53,'fom-pulldowns'!$C$9:$D$18,2,FALSE)</f>
        <v>10</v>
      </c>
      <c r="H53" s="177" t="s">
        <v>622</v>
      </c>
      <c r="I53" s="187" t="str">
        <f>VLOOKUP(H53,'fom-pulldowns'!$C$22:$D$31,2,FALSE)</f>
        <v>5</v>
      </c>
      <c r="J53" s="192" t="s">
        <v>622</v>
      </c>
      <c r="K53" s="194" t="str">
        <f>VLOOKUP(J53,'fom-pulldowns'!$C$22:$D$31,2,FALSE)</f>
        <v>5</v>
      </c>
      <c r="L53" s="203" t="s">
        <v>622</v>
      </c>
      <c r="M53" s="205" t="str">
        <f>VLOOKUP(L53,'fom-pulldowns'!$C$22:$D$31,2,FALSE)</f>
        <v>5</v>
      </c>
      <c r="N53" s="213" t="s">
        <v>622</v>
      </c>
      <c r="O53" s="215" t="str">
        <f>VLOOKUP(N53,'fom-pulldowns'!$C$22:$D$31,2,FALSE)</f>
        <v>5</v>
      </c>
    </row>
    <row r="54" spans="1:15" ht="12.75">
      <c r="A54" s="126" t="str">
        <f>HYPERLINK("https://docs.google.com/document/d/1kNJyVfiuy_WDJ9AY9AhLgvnL9U9lWvcatT3Ene-TDE0/edit","Global PDP Enhancements, Phase 2")</f>
        <v>Global PDP Enhancements, Phase 2</v>
      </c>
      <c r="B54" s="5"/>
      <c r="C54" s="7"/>
      <c r="D54" s="197" t="s">
        <v>636</v>
      </c>
      <c r="E54" s="165" t="str">
        <f t="shared" si="2"/>
        <v>1.69</v>
      </c>
      <c r="F54" s="173" t="s">
        <v>687</v>
      </c>
      <c r="G54" s="183" t="str">
        <f>VLOOKUP(F54,'fom-pulldowns'!$C$9:$D$18,2,FALSE)</f>
        <v>9</v>
      </c>
      <c r="H54" s="177" t="s">
        <v>728</v>
      </c>
      <c r="I54" s="187" t="str">
        <f>VLOOKUP(H54,'fom-pulldowns'!$C$22:$D$31,2,FALSE)</f>
        <v>6</v>
      </c>
      <c r="J54" s="192" t="s">
        <v>599</v>
      </c>
      <c r="K54" s="194" t="str">
        <f>VLOOKUP(J54,'fom-pulldowns'!$C$22:$D$31,2,FALSE)</f>
        <v>3</v>
      </c>
      <c r="L54" s="203" t="s">
        <v>652</v>
      </c>
      <c r="M54" s="205" t="str">
        <f>VLOOKUP(L54,'fom-pulldowns'!$C$22:$D$31,2,FALSE)</f>
        <v>2</v>
      </c>
      <c r="N54" s="213" t="s">
        <v>652</v>
      </c>
      <c r="O54" s="215" t="str">
        <f>VLOOKUP(N54,'fom-pulldowns'!$C$22:$D$31,2,FALSE)</f>
        <v>2</v>
      </c>
    </row>
    <row r="55" spans="1:15" ht="12.75">
      <c r="A55" s="126" t="str">
        <f>HYPERLINK("https://docs.google.com/document/d/1kNJyVfiuy_WDJ9AY9AhLgvnL9U9lWvcatT3Ene-TDE0/edit","Global PDP Enhancements, Phase 1")</f>
        <v>Global PDP Enhancements, Phase 1</v>
      </c>
      <c r="B55" s="5"/>
      <c r="C55" s="7"/>
      <c r="D55" s="197" t="s">
        <v>636</v>
      </c>
      <c r="E55" s="165" t="str">
        <f t="shared" si="2"/>
        <v>1.14</v>
      </c>
      <c r="F55" s="173" t="s">
        <v>687</v>
      </c>
      <c r="G55" s="183" t="str">
        <f>VLOOKUP(F55,'fom-pulldowns'!$C$9:$D$18,2,FALSE)</f>
        <v>9</v>
      </c>
      <c r="H55" s="177" t="s">
        <v>620</v>
      </c>
      <c r="I55" s="187" t="str">
        <f>VLOOKUP(H55,'fom-pulldowns'!$C$22:$D$31,2,FALSE)</f>
        <v>1</v>
      </c>
      <c r="J55" s="192" t="s">
        <v>620</v>
      </c>
      <c r="K55" s="194" t="str">
        <f>VLOOKUP(J55,'fom-pulldowns'!$C$22:$D$31,2,FALSE)</f>
        <v>1</v>
      </c>
      <c r="L55" s="203" t="s">
        <v>599</v>
      </c>
      <c r="M55" s="205" t="str">
        <f>VLOOKUP(L55,'fom-pulldowns'!$C$22:$D$31,2,FALSE)</f>
        <v>3</v>
      </c>
      <c r="N55" s="213" t="s">
        <v>599</v>
      </c>
      <c r="O55" s="215" t="str">
        <f>VLOOKUP(N55,'fom-pulldowns'!$C$22:$D$31,2,FALSE)</f>
        <v>3</v>
      </c>
    </row>
    <row r="56" spans="1:15" ht="12.75">
      <c r="A56" s="126" t="str">
        <f>HYPERLINK("https://docs.google.com/document/d/1a4BJyx6OMlD8qinCV2zMzxsN45HeUilQABFU9zEyfRw/edit","Translation Tools")</f>
        <v>Translation Tools</v>
      </c>
      <c r="B56" s="5"/>
      <c r="C56" s="7"/>
      <c r="D56" s="197" t="s">
        <v>803</v>
      </c>
      <c r="E56" s="165" t="str">
        <f t="shared" si="2"/>
        <v>1.97</v>
      </c>
      <c r="F56" s="173" t="s">
        <v>687</v>
      </c>
      <c r="G56" s="183" t="str">
        <f>VLOOKUP(F56,'fom-pulldowns'!$C$9:$D$18,2,FALSE)</f>
        <v>9</v>
      </c>
      <c r="H56" s="177" t="s">
        <v>620</v>
      </c>
      <c r="I56" s="187" t="str">
        <f>VLOOKUP(H56,'fom-pulldowns'!$C$22:$D$31,2,FALSE)</f>
        <v>1</v>
      </c>
      <c r="J56" s="192" t="s">
        <v>615</v>
      </c>
      <c r="K56" s="194" t="str">
        <f>VLOOKUP(J56,'fom-pulldowns'!$C$22:$D$31,2,FALSE)</f>
        <v>7</v>
      </c>
      <c r="L56" s="203" t="s">
        <v>652</v>
      </c>
      <c r="M56" s="205" t="str">
        <f>VLOOKUP(L56,'fom-pulldowns'!$C$22:$D$31,2,FALSE)</f>
        <v>2</v>
      </c>
      <c r="N56" s="213" t="s">
        <v>620</v>
      </c>
      <c r="O56" s="215" t="str">
        <f>VLOOKUP(N56,'fom-pulldowns'!$C$22:$D$31,2,FALSE)</f>
        <v>1</v>
      </c>
    </row>
    <row r="57" spans="1:15" ht="12.75">
      <c r="A57" s="126" t="str">
        <f>HYPERLINK("https://docs.google.com/document/d/1uZAAOsXRzJXnoISRO0KhAO9s59wz6I7fun0Ff8LACbE/edit#","PayPal AU")</f>
        <v>PayPal AU</v>
      </c>
      <c r="B57" s="5"/>
      <c r="C57" s="7"/>
      <c r="D57" s="197" t="s">
        <v>704</v>
      </c>
      <c r="E57" s="165" t="str">
        <f t="shared" si="2"/>
        <v>2.80</v>
      </c>
      <c r="F57" s="173" t="s">
        <v>614</v>
      </c>
      <c r="G57" s="183" t="str">
        <f>VLOOKUP(F57,'fom-pulldowns'!$C$9:$D$18,2,FALSE)</f>
        <v>5</v>
      </c>
      <c r="H57" s="177" t="s">
        <v>620</v>
      </c>
      <c r="I57" s="187" t="str">
        <f>VLOOKUP(H57,'fom-pulldowns'!$C$22:$D$31,2,FALSE)</f>
        <v>1</v>
      </c>
      <c r="J57" s="192" t="s">
        <v>620</v>
      </c>
      <c r="K57" s="194" t="str">
        <f>VLOOKUP(J57,'fom-pulldowns'!$C$22:$D$31,2,FALSE)</f>
        <v>1</v>
      </c>
      <c r="L57" s="203" t="s">
        <v>728</v>
      </c>
      <c r="M57" s="205" t="str">
        <f>VLOOKUP(L57,'fom-pulldowns'!$C$22:$D$31,2,FALSE)</f>
        <v>6</v>
      </c>
      <c r="N57" s="213" t="s">
        <v>620</v>
      </c>
      <c r="O57" s="215" t="str">
        <f>VLOOKUP(N57,'fom-pulldowns'!$C$22:$D$31,2,FALSE)</f>
        <v>1</v>
      </c>
    </row>
    <row r="58" spans="1:15" ht="12.75">
      <c r="A58" s="126" t="str">
        <f>HYPERLINK("https://docs.google.com/document/d/1z1eVtIvyLiMGqXOoJ9oVKED9E3HL0jI7mBgE7kDS1z8/edit#","Adyen TW")</f>
        <v>Adyen TW</v>
      </c>
      <c r="B58" s="5"/>
      <c r="C58" s="7"/>
      <c r="D58" s="197" t="s">
        <v>704</v>
      </c>
      <c r="E58" s="165" t="str">
        <f t="shared" si="2"/>
        <v>1.57</v>
      </c>
      <c r="F58" s="173" t="s">
        <v>691</v>
      </c>
      <c r="G58" s="183" t="str">
        <f>VLOOKUP(F58,'fom-pulldowns'!$C$9:$D$18,2,FALSE)</f>
        <v>7</v>
      </c>
      <c r="H58" s="177" t="s">
        <v>620</v>
      </c>
      <c r="I58" s="187" t="str">
        <f>VLOOKUP(H58,'fom-pulldowns'!$C$22:$D$31,2,FALSE)</f>
        <v>1</v>
      </c>
      <c r="J58" s="192" t="s">
        <v>620</v>
      </c>
      <c r="K58" s="194" t="str">
        <f>VLOOKUP(J58,'fom-pulldowns'!$C$22:$D$31,2,FALSE)</f>
        <v>1</v>
      </c>
      <c r="L58" s="203" t="s">
        <v>620</v>
      </c>
      <c r="M58" s="205" t="str">
        <f>VLOOKUP(L58,'fom-pulldowns'!$C$22:$D$31,2,FALSE)</f>
        <v>1</v>
      </c>
      <c r="N58" s="213" t="s">
        <v>620</v>
      </c>
      <c r="O58" s="215" t="str">
        <f>VLOOKUP(N58,'fom-pulldowns'!$C$22:$D$31,2,FALSE)</f>
        <v>1</v>
      </c>
    </row>
    <row r="59" spans="1:15" ht="12.75">
      <c r="A59" s="82" t="str">
        <f>HYPERLINK("","Mobile Site Global Rollout, Wave 4")</f>
        <v>Mobile Site Global Rollout, Wave 4</v>
      </c>
      <c r="B59" s="5"/>
      <c r="C59" s="7"/>
      <c r="D59" s="197" t="s">
        <v>835</v>
      </c>
      <c r="E59" s="165" t="str">
        <f t="shared" si="2"/>
        <v>1.55</v>
      </c>
      <c r="F59" s="173" t="s">
        <v>614</v>
      </c>
      <c r="G59" s="183" t="str">
        <f>VLOOKUP(F59,'fom-pulldowns'!$C$9:$D$18,2,FALSE)</f>
        <v>5</v>
      </c>
      <c r="H59" s="177" t="s">
        <v>620</v>
      </c>
      <c r="I59" s="187" t="str">
        <f>VLOOKUP(H59,'fom-pulldowns'!$C$22:$D$31,2,FALSE)</f>
        <v>1</v>
      </c>
      <c r="J59" s="192" t="s">
        <v>620</v>
      </c>
      <c r="K59" s="194" t="str">
        <f>VLOOKUP(J59,'fom-pulldowns'!$C$22:$D$31,2,FALSE)</f>
        <v>1</v>
      </c>
      <c r="L59" s="203" t="s">
        <v>620</v>
      </c>
      <c r="M59" s="205" t="str">
        <f>VLOOKUP(L59,'fom-pulldowns'!$C$22:$D$31,2,FALSE)</f>
        <v>1</v>
      </c>
      <c r="N59" s="213" t="s">
        <v>620</v>
      </c>
      <c r="O59" s="215" t="str">
        <f>VLOOKUP(N59,'fom-pulldowns'!$C$22:$D$31,2,FALSE)</f>
        <v>1</v>
      </c>
    </row>
    <row r="60" spans="1:15" ht="12.75">
      <c r="A60" s="126" t="str">
        <f>HYPERLINK("https://docs.google.com/document/d/1XmbMQSyseLC-mT2RZVCH8Le9gA7oetK2RvpBDFfCdzo/edit?usp=sharing","Localize Merchandise Automation Reports")</f>
        <v>Localize Merchandise Automation Reports</v>
      </c>
      <c r="B60" s="5"/>
      <c r="C60" s="7"/>
      <c r="D60" s="197" t="s">
        <v>704</v>
      </c>
      <c r="E60" s="165" t="str">
        <f t="shared" si="2"/>
        <v>1.44</v>
      </c>
      <c r="F60" s="173" t="s">
        <v>687</v>
      </c>
      <c r="G60" s="183" t="str">
        <f>VLOOKUP(F60,'fom-pulldowns'!$C$9:$D$18,2,FALSE)</f>
        <v>9</v>
      </c>
      <c r="H60" s="177" t="s">
        <v>620</v>
      </c>
      <c r="I60" s="187" t="str">
        <f>VLOOKUP(H60,'fom-pulldowns'!$C$22:$D$31,2,FALSE)</f>
        <v>1</v>
      </c>
      <c r="J60" s="192" t="s">
        <v>620</v>
      </c>
      <c r="K60" s="194" t="str">
        <f>VLOOKUP(J60,'fom-pulldowns'!$C$22:$D$31,2,FALSE)</f>
        <v>1</v>
      </c>
      <c r="L60" s="203" t="s">
        <v>620</v>
      </c>
      <c r="M60" s="205" t="str">
        <f>VLOOKUP(L60,'fom-pulldowns'!$C$22:$D$31,2,FALSE)</f>
        <v>1</v>
      </c>
      <c r="N60" s="213" t="s">
        <v>620</v>
      </c>
      <c r="O60" s="215" t="str">
        <f>VLOOKUP(N60,'fom-pulldowns'!$C$22:$D$31,2,FALSE)</f>
        <v>1</v>
      </c>
    </row>
    <row r="61" spans="1:15" ht="12.75">
      <c r="A61" s="126" t="str">
        <f>HYPERLINK("https://docs.google.com/document/d/1xn4H0Jk3Ae7xIWtSSbt8mJ_UxXQbSFHPElud9F3BC98/edit?usp=sharing","Sears Marketplace")</f>
        <v>Sears Marketplace</v>
      </c>
      <c r="B61" s="5"/>
      <c r="C61" s="7"/>
      <c r="D61" s="197" t="s">
        <v>862</v>
      </c>
      <c r="E61" s="165" t="str">
        <f t="shared" si="2"/>
        <v>1.17</v>
      </c>
      <c r="F61" s="173" t="s">
        <v>687</v>
      </c>
      <c r="G61" s="183" t="str">
        <f>VLOOKUP(F61,'fom-pulldowns'!$C$9:$D$18,2,FALSE)</f>
        <v>9</v>
      </c>
      <c r="H61" s="177" t="s">
        <v>599</v>
      </c>
      <c r="I61" s="187" t="str">
        <f>VLOOKUP(H61,'fom-pulldowns'!$C$22:$D$31,2,FALSE)</f>
        <v>3</v>
      </c>
      <c r="J61" s="192" t="s">
        <v>620</v>
      </c>
      <c r="K61" s="194" t="str">
        <f>VLOOKUP(J61,'fom-pulldowns'!$C$22:$D$31,2,FALSE)</f>
        <v>1</v>
      </c>
      <c r="L61" s="203" t="s">
        <v>620</v>
      </c>
      <c r="M61" s="205" t="str">
        <f>VLOOKUP(L61,'fom-pulldowns'!$C$22:$D$31,2,FALSE)</f>
        <v>1</v>
      </c>
      <c r="N61" s="213" t="s">
        <v>620</v>
      </c>
      <c r="O61" s="215" t="str">
        <f>VLOOKUP(N61,'fom-pulldowns'!$C$22:$D$31,2,FALSE)</f>
        <v>1</v>
      </c>
    </row>
    <row r="62" spans="1:15" ht="12.75">
      <c r="A62" s="126" t="str">
        <f>HYPERLINK("https://docs.google.com/document/d/1B6dCD9SmdR_kHQeECq4BCXs5Em54EFWheJuklVt-ifw/edit?usp=sharing","SheerID Military ID Check")</f>
        <v>SheerID Military ID Check</v>
      </c>
      <c r="B62" s="5"/>
      <c r="C62" s="7"/>
      <c r="D62" s="197" t="s">
        <v>704</v>
      </c>
      <c r="E62" s="165" t="str">
        <f t="shared" si="2"/>
        <v>2.00</v>
      </c>
      <c r="F62" s="173" t="s">
        <v>687</v>
      </c>
      <c r="G62" s="183" t="str">
        <f>VLOOKUP(F62,'fom-pulldowns'!$C$9:$D$18,2,FALSE)</f>
        <v>9</v>
      </c>
      <c r="H62" s="177" t="s">
        <v>728</v>
      </c>
      <c r="I62" s="187" t="str">
        <f>VLOOKUP(H62,'fom-pulldowns'!$C$22:$D$31,2,FALSE)</f>
        <v>6</v>
      </c>
      <c r="J62" s="192" t="s">
        <v>620</v>
      </c>
      <c r="K62" s="194" t="str">
        <f>VLOOKUP(J62,'fom-pulldowns'!$C$22:$D$31,2,FALSE)</f>
        <v>1</v>
      </c>
      <c r="L62" s="203" t="s">
        <v>620</v>
      </c>
      <c r="M62" s="205" t="str">
        <f>VLOOKUP(L62,'fom-pulldowns'!$C$22:$D$31,2,FALSE)</f>
        <v>1</v>
      </c>
      <c r="N62" s="213" t="s">
        <v>620</v>
      </c>
      <c r="O62" s="215" t="str">
        <f>VLOOKUP(N62,'fom-pulldowns'!$C$22:$D$31,2,FALSE)</f>
        <v>1</v>
      </c>
    </row>
    <row r="63" spans="1:15" ht="12.75">
      <c r="A63" s="126" t="str">
        <f>HYPERLINK("https://docs.google.com/document/d/1zeeTq3x59wW_8k5ZcUk8EULtCSeBSk3JlUQB6BFPfnY/edit#","Localize Shoefinder")</f>
        <v>Localize Shoefinder</v>
      </c>
      <c r="B63" s="5"/>
      <c r="C63" s="7"/>
      <c r="D63" s="197" t="s">
        <v>704</v>
      </c>
      <c r="E63" s="165" t="str">
        <f t="shared" si="2"/>
        <v>1.44</v>
      </c>
      <c r="F63" s="173" t="s">
        <v>687</v>
      </c>
      <c r="G63" s="183" t="str">
        <f>VLOOKUP(F63,'fom-pulldowns'!$C$9:$D$18,2,FALSE)</f>
        <v>9</v>
      </c>
      <c r="H63" s="177" t="s">
        <v>620</v>
      </c>
      <c r="I63" s="187" t="str">
        <f>VLOOKUP(H63,'fom-pulldowns'!$C$22:$D$31,2,FALSE)</f>
        <v>1</v>
      </c>
      <c r="J63" s="192" t="s">
        <v>620</v>
      </c>
      <c r="K63" s="194" t="str">
        <f>VLOOKUP(J63,'fom-pulldowns'!$C$22:$D$31,2,FALSE)</f>
        <v>1</v>
      </c>
      <c r="L63" s="203" t="s">
        <v>620</v>
      </c>
      <c r="M63" s="205" t="str">
        <f>VLOOKUP(L63,'fom-pulldowns'!$C$22:$D$31,2,FALSE)</f>
        <v>1</v>
      </c>
      <c r="N63" s="213" t="s">
        <v>620</v>
      </c>
      <c r="O63" s="215" t="str">
        <f>VLOOKUP(N63,'fom-pulldowns'!$C$22:$D$31,2,FALSE)</f>
        <v>1</v>
      </c>
    </row>
    <row r="64" spans="1:15" ht="12.75">
      <c r="A64" s="8" t="s">
        <v>863</v>
      </c>
      <c r="B64" s="5"/>
      <c r="C64" s="7"/>
      <c r="D64" s="197" t="s">
        <v>704</v>
      </c>
      <c r="E64" s="165" t="str">
        <f t="shared" si="2"/>
        <v>1.67</v>
      </c>
      <c r="F64" s="173" t="s">
        <v>672</v>
      </c>
      <c r="G64" s="183" t="str">
        <f>VLOOKUP(F64,'fom-pulldowns'!$C$9:$D$18,2,FALSE)</f>
        <v>6</v>
      </c>
      <c r="H64" s="177" t="s">
        <v>620</v>
      </c>
      <c r="I64" s="187" t="str">
        <f>VLOOKUP(H64,'fom-pulldowns'!$C$22:$D$31,2,FALSE)</f>
        <v>1</v>
      </c>
      <c r="J64" s="192" t="s">
        <v>620</v>
      </c>
      <c r="K64" s="194" t="str">
        <f>VLOOKUP(J64,'fom-pulldowns'!$C$22:$D$31,2,FALSE)</f>
        <v>1</v>
      </c>
      <c r="L64" s="203" t="s">
        <v>620</v>
      </c>
      <c r="M64" s="205" t="str">
        <f>VLOOKUP(L64,'fom-pulldowns'!$C$22:$D$31,2,FALSE)</f>
        <v>1</v>
      </c>
      <c r="N64" s="213" t="s">
        <v>620</v>
      </c>
      <c r="O64" s="215" t="str">
        <f>VLOOKUP(N64,'fom-pulldowns'!$C$22:$D$31,2,FALSE)</f>
        <v>1</v>
      </c>
    </row>
    <row r="65" spans="1:15" ht="12.75">
      <c r="A65" s="5"/>
      <c r="B65" s="5"/>
      <c r="C65" s="7"/>
      <c r="D65" s="216"/>
      <c r="E65" s="165"/>
      <c r="F65" s="184"/>
      <c r="G65" s="282"/>
      <c r="H65" s="284"/>
      <c r="I65" s="316"/>
      <c r="J65" s="318"/>
      <c r="K65" s="277"/>
      <c r="L65" s="320"/>
      <c r="M65" s="321"/>
      <c r="N65" s="358"/>
      <c r="O65" s="359"/>
    </row>
    <row r="66" spans="1:15" ht="12.75">
      <c r="A66" s="5"/>
      <c r="B66" s="5"/>
      <c r="C66" s="7"/>
      <c r="D66" s="216"/>
      <c r="E66" s="165"/>
      <c r="F66" s="184"/>
      <c r="G66" s="282"/>
      <c r="H66" s="284"/>
      <c r="I66" s="316"/>
      <c r="J66" s="318"/>
      <c r="K66" s="277"/>
      <c r="L66" s="320"/>
      <c r="M66" s="321"/>
      <c r="N66" s="358"/>
      <c r="O66" s="359"/>
    </row>
    <row r="67" spans="1:15" ht="24" customHeight="1">
      <c r="A67" s="323" t="s">
        <v>864</v>
      </c>
      <c r="B67" s="347"/>
      <c r="C67" s="348"/>
      <c r="D67" s="349"/>
      <c r="E67" s="350"/>
      <c r="F67" s="351"/>
      <c r="G67" s="352"/>
      <c r="H67" s="353"/>
      <c r="I67" s="347"/>
      <c r="J67" s="353"/>
      <c r="K67" s="347"/>
      <c r="L67" s="353"/>
      <c r="M67" s="347"/>
      <c r="N67" s="353"/>
      <c r="O67" s="347"/>
    </row>
    <row r="68" spans="1:15" ht="12.75">
      <c r="A68" s="126" t="str">
        <f>HYPERLINK("https://docs.google.com/document/d/1Cfw-qy1Ut-mDOLXei94UqCC3RH78TPWtLVvoosMJdWI/edit?usp=sharing","Smartphone Geo-targeted home page targeted at retail")</f>
        <v>Smartphone Geo-targeted home page targeted at retail</v>
      </c>
      <c r="B68" s="5"/>
      <c r="C68" s="7"/>
      <c r="D68" s="197" t="s">
        <v>803</v>
      </c>
      <c r="E68" s="165" t="str">
        <f aca="true" t="shared" si="3" ref="E68:E70">((I68+K68+M68+O68)/(G68))+(IF(MID(D68,1,1)="Y",1,0)+IF(MID(D68,3,1)="Y",1,0)+IF(MID(D68,5,1)="Y",1,0)+IF(MID(D68,7,1)="Y",1,0))/4</f>
        <v>2.04</v>
      </c>
      <c r="F68" s="173" t="s">
        <v>691</v>
      </c>
      <c r="G68" s="183" t="str">
        <f>VLOOKUP(F68,'fom-pulldowns'!$C$9:$D$18,2,FALSE)</f>
        <v>7</v>
      </c>
      <c r="H68" s="177" t="s">
        <v>664</v>
      </c>
      <c r="I68" s="187" t="str">
        <f>VLOOKUP(H68,'fom-pulldowns'!$C$22:$D$31,2,FALSE)</f>
        <v>4</v>
      </c>
      <c r="J68" s="192" t="s">
        <v>652</v>
      </c>
      <c r="K68" s="194" t="str">
        <f>VLOOKUP(J68,'fom-pulldowns'!$C$22:$D$31,2,FALSE)</f>
        <v>2</v>
      </c>
      <c r="L68" s="203" t="s">
        <v>620</v>
      </c>
      <c r="M68" s="205" t="str">
        <f>VLOOKUP(L68,'fom-pulldowns'!$C$22:$D$31,2,FALSE)</f>
        <v>1</v>
      </c>
      <c r="N68" s="213" t="s">
        <v>652</v>
      </c>
      <c r="O68" s="215" t="str">
        <f>VLOOKUP(N68,'fom-pulldowns'!$C$22:$D$31,2,FALSE)</f>
        <v>2</v>
      </c>
    </row>
    <row r="69" spans="1:15" ht="12.75">
      <c r="A69" s="126" t="str">
        <f>HYPERLINK("https://docs.google.com/document/d/1z-7tAbe8coBUClT5JRToJnyfNIQSdo-k9FVHeKMo8ds/edit#heading=h.gjdgxs","Call Center App")</f>
        <v>Call Center App</v>
      </c>
      <c r="B69" s="5"/>
      <c r="C69" s="7"/>
      <c r="D69" s="197" t="s">
        <v>803</v>
      </c>
      <c r="E69" s="165" t="str">
        <f t="shared" si="3"/>
        <v>1.86</v>
      </c>
      <c r="F69" s="173" t="s">
        <v>687</v>
      </c>
      <c r="G69" s="183" t="str">
        <f>VLOOKUP(F69,'fom-pulldowns'!$C$9:$D$18,2,FALSE)</f>
        <v>9</v>
      </c>
      <c r="H69" s="177" t="s">
        <v>599</v>
      </c>
      <c r="I69" s="187" t="str">
        <f>VLOOKUP(H69,'fom-pulldowns'!$C$22:$D$31,2,FALSE)</f>
        <v>3</v>
      </c>
      <c r="J69" s="192" t="s">
        <v>622</v>
      </c>
      <c r="K69" s="194" t="str">
        <f>VLOOKUP(J69,'fom-pulldowns'!$C$22:$D$31,2,FALSE)</f>
        <v>5</v>
      </c>
      <c r="L69" s="203" t="s">
        <v>620</v>
      </c>
      <c r="M69" s="205" t="str">
        <f>VLOOKUP(L69,'fom-pulldowns'!$C$22:$D$31,2,FALSE)</f>
        <v>1</v>
      </c>
      <c r="N69" s="213" t="s">
        <v>620</v>
      </c>
      <c r="O69" s="215" t="str">
        <f>VLOOKUP(N69,'fom-pulldowns'!$C$22:$D$31,2,FALSE)</f>
        <v>1</v>
      </c>
    </row>
    <row r="70" spans="1:15" ht="12.75">
      <c r="A70" s="82" t="str">
        <f>HYPERLINK("","Copy this Row")</f>
        <v>Copy this Row</v>
      </c>
      <c r="B70" s="5"/>
      <c r="C70" s="7"/>
      <c r="D70" s="216"/>
      <c r="E70" s="165" t="str">
        <f t="shared" si="3"/>
        <v>0.44</v>
      </c>
      <c r="F70" s="173" t="s">
        <v>687</v>
      </c>
      <c r="G70" s="183" t="str">
        <f>VLOOKUP(F70,'fom-pulldowns'!$C$9:$D$18,2,FALSE)</f>
        <v>9</v>
      </c>
      <c r="H70" s="177" t="s">
        <v>620</v>
      </c>
      <c r="I70" s="187" t="str">
        <f>VLOOKUP(H70,'fom-pulldowns'!$C$22:$D$31,2,FALSE)</f>
        <v>1</v>
      </c>
      <c r="J70" s="192" t="s">
        <v>620</v>
      </c>
      <c r="K70" s="194" t="str">
        <f>VLOOKUP(J70,'fom-pulldowns'!$C$22:$D$31,2,FALSE)</f>
        <v>1</v>
      </c>
      <c r="L70" s="203" t="s">
        <v>620</v>
      </c>
      <c r="M70" s="205" t="str">
        <f>VLOOKUP(L70,'fom-pulldowns'!$C$22:$D$31,2,FALSE)</f>
        <v>1</v>
      </c>
      <c r="N70" s="213" t="s">
        <v>620</v>
      </c>
      <c r="O70" s="215" t="str">
        <f>VLOOKUP(N70,'fom-pulldowns'!$C$22:$D$31,2,FALSE)</f>
        <v>1</v>
      </c>
    </row>
    <row r="71" spans="1:15" ht="12.75">
      <c r="A71" s="42"/>
      <c r="B71" s="42"/>
      <c r="C71" s="365"/>
      <c r="D71" s="366"/>
      <c r="E71" s="367"/>
      <c r="F71" s="367"/>
      <c r="G71" s="367"/>
      <c r="H71" s="367"/>
      <c r="I71" s="42"/>
      <c r="J71" s="42"/>
      <c r="K71" s="42"/>
      <c r="L71" s="42"/>
      <c r="M71" s="42"/>
      <c r="N71" s="368"/>
      <c r="O71" s="368"/>
    </row>
    <row r="72" spans="1:15" ht="25.5" customHeight="1">
      <c r="A72" s="323" t="s">
        <v>865</v>
      </c>
      <c r="B72" s="347"/>
      <c r="C72" s="348"/>
      <c r="D72" s="349"/>
      <c r="E72" s="350"/>
      <c r="F72" s="351"/>
      <c r="G72" s="352"/>
      <c r="H72" s="353"/>
      <c r="I72" s="347"/>
      <c r="J72" s="353"/>
      <c r="K72" s="347"/>
      <c r="L72" s="353"/>
      <c r="M72" s="347"/>
      <c r="N72" s="353"/>
      <c r="O72" s="347"/>
    </row>
    <row r="73" spans="1:15" ht="12.75">
      <c r="A73" s="8" t="s">
        <v>42</v>
      </c>
      <c r="B73" s="5"/>
      <c r="C73" s="7"/>
      <c r="D73" s="216"/>
      <c r="E73" s="165" t="str">
        <f aca="true" t="shared" si="4" ref="E73:E74">(I73+K73+M73+O73)/(G73)</f>
        <v>4.33</v>
      </c>
      <c r="F73" s="173" t="s">
        <v>681</v>
      </c>
      <c r="G73" s="183" t="str">
        <f>VLOOKUP(F73,'fom-pulldowns'!$C$9:$D$18,2,FALSE)</f>
        <v>3</v>
      </c>
      <c r="H73" s="177" t="s">
        <v>689</v>
      </c>
      <c r="I73" s="187" t="str">
        <f>VLOOKUP(H73,'fom-pulldowns'!$C$22:$D$31,2,FALSE)</f>
        <v>10</v>
      </c>
      <c r="J73" s="192" t="s">
        <v>620</v>
      </c>
      <c r="K73" s="194" t="str">
        <f>VLOOKUP(J73,'fom-pulldowns'!$C$22:$D$31,2,FALSE)</f>
        <v>1</v>
      </c>
      <c r="L73" s="203" t="s">
        <v>620</v>
      </c>
      <c r="M73" s="205" t="str">
        <f>VLOOKUP(L73,'fom-pulldowns'!$C$22:$D$31,2,FALSE)</f>
        <v>1</v>
      </c>
      <c r="N73" s="213" t="s">
        <v>620</v>
      </c>
      <c r="O73" s="215" t="str">
        <f>VLOOKUP(N73,'fom-pulldowns'!$C$22:$D$31,2,FALSE)</f>
        <v>1</v>
      </c>
    </row>
    <row r="74" spans="1:15" ht="12.75">
      <c r="A74" s="126" t="str">
        <f>HYPERLINK("https://docs.google.com/file/d/0B8aL7M45OFh_cGVGZ2l6cFdULVE/edit?usp=sharing","Crocs club digital interface and data routing")</f>
        <v>Crocs club digital interface and data routing</v>
      </c>
      <c r="B74" s="5"/>
      <c r="C74" s="7"/>
      <c r="D74" s="216"/>
      <c r="E74" s="165" t="str">
        <f t="shared" si="4"/>
        <v>3.11</v>
      </c>
      <c r="F74" s="173" t="s">
        <v>687</v>
      </c>
      <c r="G74" s="183" t="str">
        <f>VLOOKUP(F74,'fom-pulldowns'!$C$9:$D$18,2,FALSE)</f>
        <v>9</v>
      </c>
      <c r="H74" s="177" t="s">
        <v>615</v>
      </c>
      <c r="I74" s="187" t="str">
        <f>VLOOKUP(H74,'fom-pulldowns'!$C$22:$D$31,2,FALSE)</f>
        <v>7</v>
      </c>
      <c r="J74" s="192" t="s">
        <v>615</v>
      </c>
      <c r="K74" s="194" t="str">
        <f>VLOOKUP(J74,'fom-pulldowns'!$C$22:$D$31,2,FALSE)</f>
        <v>7</v>
      </c>
      <c r="L74" s="203" t="s">
        <v>615</v>
      </c>
      <c r="M74" s="205" t="str">
        <f>VLOOKUP(L74,'fom-pulldowns'!$C$22:$D$31,2,FALSE)</f>
        <v>7</v>
      </c>
      <c r="N74" s="213" t="s">
        <v>615</v>
      </c>
      <c r="O74" s="215" t="str">
        <f>VLOOKUP(N74,'fom-pulldowns'!$C$22:$D$31,2,FALSE)</f>
        <v>7</v>
      </c>
    </row>
    <row r="75" spans="1:15" ht="12.75">
      <c r="A75" s="126" t="str">
        <f>HYPERLINK("https://docs.google.com/document/d/1e3C0zoq4FuJ034djBLrTAZW14QVlR24uHdDMMjdwBWc/edit?usp=sharing","NPI Translation Workflow Tool")</f>
        <v>NPI Translation Workflow Tool</v>
      </c>
      <c r="B75" s="5"/>
      <c r="C75" s="7"/>
      <c r="D75" s="216"/>
      <c r="E75" s="165" t="str">
        <f>((I75+K75+M75+O75)/(G75))+(IF(MID(D75,1,1)="Y",1,0)+IF(MID(D75,3,1)="Y",1,0)+IF(MID(D75,5,1)="Y",1,0)+IF(MID(D75,7,1)="Y",1,0))/4</f>
        <v>0.78</v>
      </c>
      <c r="F75" s="173" t="s">
        <v>687</v>
      </c>
      <c r="G75" s="183" t="str">
        <f>VLOOKUP(F75,'fom-pulldowns'!$C$9:$D$18,2,FALSE)</f>
        <v>9</v>
      </c>
      <c r="H75" s="177" t="s">
        <v>664</v>
      </c>
      <c r="I75" s="187" t="str">
        <f>VLOOKUP(H75,'fom-pulldowns'!$C$22:$D$31,2,FALSE)</f>
        <v>4</v>
      </c>
      <c r="J75" s="192" t="s">
        <v>620</v>
      </c>
      <c r="K75" s="194" t="str">
        <f>VLOOKUP(J75,'fom-pulldowns'!$C$22:$D$31,2,FALSE)</f>
        <v>1</v>
      </c>
      <c r="L75" s="203" t="s">
        <v>620</v>
      </c>
      <c r="M75" s="205" t="str">
        <f>VLOOKUP(L75,'fom-pulldowns'!$C$22:$D$31,2,FALSE)</f>
        <v>1</v>
      </c>
      <c r="N75" s="213" t="s">
        <v>620</v>
      </c>
      <c r="O75" s="215" t="str">
        <f>VLOOKUP(N75,'fom-pulldowns'!$C$22:$D$31,2,FALSE)</f>
        <v>1</v>
      </c>
    </row>
    <row r="76" spans="1:15" ht="12.75">
      <c r="A76" s="218" t="str">
        <f>HYPERLINK("https://docs.google.com/leaf?id=0B8aL7M45OFh_MmQ5NjdkN2MtYmExYi00YzI3LWJlNWMtN2YxZWMxZGJkZjQ4&amp;hl=en_US&amp;authkey=CPunlMYO","Product Feed Fixes/Improvements to optimize Comparison Shopping Engines)")</f>
        <v>Product Feed Fixes/Improvements to optimize Comparison Shopping Engines)</v>
      </c>
      <c r="B76" s="5"/>
      <c r="C76" s="7"/>
      <c r="D76" s="216"/>
      <c r="E76" s="165" t="str">
        <f aca="true" t="shared" si="5" ref="E76:E77">(I76+K76+M76)/(G76)</f>
        <v>3.67</v>
      </c>
      <c r="F76" s="173" t="s">
        <v>681</v>
      </c>
      <c r="G76" s="183" t="str">
        <f>VLOOKUP(F76,'fom-pulldowns'!$C$9:$D$18,2,FALSE)</f>
        <v>3</v>
      </c>
      <c r="H76" s="177" t="s">
        <v>622</v>
      </c>
      <c r="I76" s="187" t="str">
        <f>VLOOKUP(H76,'fom-pulldowns'!$C$22:$D$31,2,FALSE)</f>
        <v>5</v>
      </c>
      <c r="J76" s="192" t="s">
        <v>664</v>
      </c>
      <c r="K76" s="194" t="str">
        <f>VLOOKUP(J76,'fom-pulldowns'!$C$22:$D$31,2,FALSE)</f>
        <v>4</v>
      </c>
      <c r="L76" s="203" t="s">
        <v>652</v>
      </c>
      <c r="M76" s="205" t="str">
        <f>VLOOKUP(L76,'fom-pulldowns'!$C$22:$D$31,2,FALSE)</f>
        <v>2</v>
      </c>
      <c r="N76" s="213" t="s">
        <v>652</v>
      </c>
      <c r="O76" s="215" t="str">
        <f>VLOOKUP(N76,'fom-pulldowns'!$C$22:$D$31,2,FALSE)</f>
        <v>2</v>
      </c>
    </row>
    <row r="77" spans="1:15" ht="12.75">
      <c r="A77" s="126" t="str">
        <f>HYPERLINK("https://docs.google.com/open?id=0B8aL7M45OFh_NThiZmYzZGItZGZkZC00MTU4LThkYjItMGY0NjBjMmE0ZTFh","Couponing/Promo code redesign")</f>
        <v>Couponing/Promo code redesign</v>
      </c>
      <c r="B77" s="5"/>
      <c r="C77" s="7"/>
      <c r="D77" s="216"/>
      <c r="E77" s="165" t="str">
        <f t="shared" si="5"/>
        <v>3.40</v>
      </c>
      <c r="F77" s="173" t="s">
        <v>614</v>
      </c>
      <c r="G77" s="183" t="str">
        <f>VLOOKUP(F77,'fom-pulldowns'!$C$9:$D$18,2,FALSE)</f>
        <v>5</v>
      </c>
      <c r="H77" s="177" t="s">
        <v>615</v>
      </c>
      <c r="I77" s="187" t="str">
        <f>VLOOKUP(H77,'fom-pulldowns'!$C$22:$D$31,2,FALSE)</f>
        <v>7</v>
      </c>
      <c r="J77" s="192" t="s">
        <v>615</v>
      </c>
      <c r="K77" s="194" t="str">
        <f>VLOOKUP(J77,'fom-pulldowns'!$C$22:$D$31,2,FALSE)</f>
        <v>7</v>
      </c>
      <c r="L77" s="203" t="s">
        <v>599</v>
      </c>
      <c r="M77" s="205" t="str">
        <f>VLOOKUP(L77,'fom-pulldowns'!$C$22:$D$31,2,FALSE)</f>
        <v>3</v>
      </c>
      <c r="N77" s="213" t="s">
        <v>599</v>
      </c>
      <c r="O77" s="215" t="str">
        <f>VLOOKUP(N77,'fom-pulldowns'!$C$22:$D$31,2,FALSE)</f>
        <v>3</v>
      </c>
    </row>
    <row r="78" spans="1:15" ht="12.75">
      <c r="A78" s="126" t="str">
        <f>HYPERLINK("https://docs.google.com/document/d/1Erjpuv3nvNExWh_oV9Z5q6D6M2EGgqZemwa1lRo2ry0/edit#heading=h.30j0zll","Channel Advisor CSE Categorization")</f>
        <v>Channel Advisor CSE Categorization</v>
      </c>
      <c r="B78" s="5"/>
      <c r="C78" s="7"/>
      <c r="D78" s="197" t="s">
        <v>764</v>
      </c>
      <c r="E78" s="165" t="str">
        <f>((I78+K78+M78+O78)/(G78))+(IF(MID(D78,1,1)="Y",1,0)+IF(MID(D78,3,1)="Y",1,0)+IF(MID(D78,5,1)="Y",1,0)+IF(MID(D78,7,1)="Y",1,0))/4</f>
        <v>1.39</v>
      </c>
      <c r="F78" s="173" t="s">
        <v>687</v>
      </c>
      <c r="G78" s="183" t="str">
        <f>VLOOKUP(F78,'fom-pulldowns'!$C$9:$D$18,2,FALSE)</f>
        <v>9</v>
      </c>
      <c r="H78" s="177" t="s">
        <v>599</v>
      </c>
      <c r="I78" s="187" t="str">
        <f>VLOOKUP(H78,'fom-pulldowns'!$C$22:$D$31,2,FALSE)</f>
        <v>3</v>
      </c>
      <c r="J78" s="192" t="s">
        <v>599</v>
      </c>
      <c r="K78" s="194" t="str">
        <f>VLOOKUP(J78,'fom-pulldowns'!$C$22:$D$31,2,FALSE)</f>
        <v>3</v>
      </c>
      <c r="L78" s="203" t="s">
        <v>620</v>
      </c>
      <c r="M78" s="205" t="str">
        <f>VLOOKUP(L78,'fom-pulldowns'!$C$22:$D$31,2,FALSE)</f>
        <v>1</v>
      </c>
      <c r="N78" s="213" t="s">
        <v>620</v>
      </c>
      <c r="O78" s="215" t="str">
        <f>VLOOKUP(N78,'fom-pulldowns'!$C$22:$D$31,2,FALSE)</f>
        <v>1</v>
      </c>
    </row>
    <row r="79" spans="1:15" ht="12.75">
      <c r="A79" s="126" t="str">
        <f>HYPERLINK("https://docs.google.com/file/d/0B8aL7M45OFh_bG5ReldxdGxGNzQ/edit?usp=sharing","Improved Online Coupon Messaging")</f>
        <v>Improved Online Coupon Messaging</v>
      </c>
      <c r="B79" s="5"/>
      <c r="C79" s="7"/>
      <c r="D79" s="216"/>
      <c r="E79" s="165" t="str">
        <f aca="true" t="shared" si="6" ref="E79:E88">(I79+K79+M79)/(G79)</f>
        <v>2.20</v>
      </c>
      <c r="F79" s="173" t="s">
        <v>614</v>
      </c>
      <c r="G79" s="183" t="str">
        <f>VLOOKUP(F79,'fom-pulldowns'!$C$9:$D$18,2,FALSE)</f>
        <v>5</v>
      </c>
      <c r="H79" s="177" t="s">
        <v>664</v>
      </c>
      <c r="I79" s="187" t="str">
        <f>VLOOKUP(H79,'fom-pulldowns'!$C$22:$D$31,2,FALSE)</f>
        <v>4</v>
      </c>
      <c r="J79" s="192" t="s">
        <v>664</v>
      </c>
      <c r="K79" s="194" t="str">
        <f>VLOOKUP(J79,'fom-pulldowns'!$C$22:$D$31,2,FALSE)</f>
        <v>4</v>
      </c>
      <c r="L79" s="203" t="s">
        <v>599</v>
      </c>
      <c r="M79" s="205" t="str">
        <f>VLOOKUP(L79,'fom-pulldowns'!$C$22:$D$31,2,FALSE)</f>
        <v>3</v>
      </c>
      <c r="N79" s="213" t="s">
        <v>599</v>
      </c>
      <c r="O79" s="215" t="str">
        <f>VLOOKUP(N79,'fom-pulldowns'!$C$22:$D$31,2,FALSE)</f>
        <v>3</v>
      </c>
    </row>
    <row r="80" spans="1:15" ht="12.75">
      <c r="A80" s="235" t="str">
        <f>HYPERLINK("https://docs.google.com/open?id=0B8aL7M45OFh_MzE0N2I4MmUtNTEwMC00NDg3LWFhZDgtODBlZGFhMTgxYTgy","Discount pricing by percentage in category and other")</f>
        <v>Discount pricing by percentage in category and other</v>
      </c>
      <c r="B80" s="5"/>
      <c r="C80" s="7"/>
      <c r="D80" s="216"/>
      <c r="E80" s="165" t="str">
        <f t="shared" si="6"/>
        <v>2.00</v>
      </c>
      <c r="F80" s="173" t="s">
        <v>621</v>
      </c>
      <c r="G80" s="183" t="str">
        <f>VLOOKUP(F80,'fom-pulldowns'!$C$9:$D$18,2,FALSE)</f>
        <v>4</v>
      </c>
      <c r="H80" s="177" t="s">
        <v>620</v>
      </c>
      <c r="I80" s="187" t="str">
        <f>VLOOKUP(H80,'fom-pulldowns'!$C$22:$D$31,2,FALSE)</f>
        <v>1</v>
      </c>
      <c r="J80" s="192" t="s">
        <v>664</v>
      </c>
      <c r="K80" s="194" t="str">
        <f>VLOOKUP(J80,'fom-pulldowns'!$C$22:$D$31,2,FALSE)</f>
        <v>4</v>
      </c>
      <c r="L80" s="203" t="s">
        <v>652</v>
      </c>
      <c r="M80" s="242">
        <v>3</v>
      </c>
      <c r="N80" s="213" t="s">
        <v>652</v>
      </c>
      <c r="O80" s="247">
        <v>3</v>
      </c>
    </row>
    <row r="81" spans="1:15" ht="12.75">
      <c r="A81" s="126" t="str">
        <f>HYPERLINK("https://docs.google.com/open?id=0B8aL7M45OFh_UkV3eXp0bkctZ2c","Account Form Update")</f>
        <v>Account Form Update</v>
      </c>
      <c r="B81" s="5"/>
      <c r="C81" s="7"/>
      <c r="D81" s="216"/>
      <c r="E81" s="165" t="str">
        <f t="shared" si="6"/>
        <v>1.50</v>
      </c>
      <c r="F81" s="173" t="s">
        <v>621</v>
      </c>
      <c r="G81" s="183" t="str">
        <f>VLOOKUP(F81,'fom-pulldowns'!$C$9:$D$18,2,FALSE)</f>
        <v>4</v>
      </c>
      <c r="H81" s="177" t="s">
        <v>664</v>
      </c>
      <c r="I81" s="187" t="str">
        <f>VLOOKUP(H81,'fom-pulldowns'!$C$22:$D$31,2,FALSE)</f>
        <v>4</v>
      </c>
      <c r="J81" s="192" t="s">
        <v>620</v>
      </c>
      <c r="K81" s="194" t="str">
        <f>VLOOKUP(J81,'fom-pulldowns'!$C$22:$D$31,2,FALSE)</f>
        <v>1</v>
      </c>
      <c r="L81" s="203" t="s">
        <v>620</v>
      </c>
      <c r="M81" s="205" t="str">
        <f>VLOOKUP(L81,'fom-pulldowns'!$C$22:$D$31,2,FALSE)</f>
        <v>1</v>
      </c>
      <c r="N81" s="213" t="s">
        <v>620</v>
      </c>
      <c r="O81" s="215" t="str">
        <f>VLOOKUP(N81,'fom-pulldowns'!$C$22:$D$31,2,FALSE)</f>
        <v>1</v>
      </c>
    </row>
    <row r="82" spans="1:15" ht="12.75">
      <c r="A82" s="126" t="str">
        <f>HYPERLINK("https://docs.google.com/file/d/0B8aL7M45OFh_V29JcXBtVTA0X2c/edit?usp=sharing","Loyalty/CRM Retail Sign-Up via iPad")</f>
        <v>Loyalty/CRM Retail Sign-Up via iPad</v>
      </c>
      <c r="B82" s="5"/>
      <c r="C82" s="7"/>
      <c r="D82" s="216"/>
      <c r="E82" s="165" t="str">
        <f t="shared" si="6"/>
        <v>1.29</v>
      </c>
      <c r="F82" s="173" t="s">
        <v>691</v>
      </c>
      <c r="G82" s="183" t="str">
        <f>VLOOKUP(F82,'fom-pulldowns'!$C$9:$D$18,2,FALSE)</f>
        <v>7</v>
      </c>
      <c r="H82" s="177" t="s">
        <v>620</v>
      </c>
      <c r="I82" s="187" t="str">
        <f>VLOOKUP(H82,'fom-pulldowns'!$C$22:$D$31,2,FALSE)</f>
        <v>1</v>
      </c>
      <c r="J82" s="192" t="s">
        <v>620</v>
      </c>
      <c r="K82" s="194" t="str">
        <f>VLOOKUP(J82,'fom-pulldowns'!$C$22:$D$31,2,FALSE)</f>
        <v>1</v>
      </c>
      <c r="L82" s="203" t="s">
        <v>615</v>
      </c>
      <c r="M82" s="205" t="str">
        <f>VLOOKUP(L82,'fom-pulldowns'!$C$22:$D$31,2,FALSE)</f>
        <v>7</v>
      </c>
      <c r="N82" s="213" t="s">
        <v>615</v>
      </c>
      <c r="O82" s="215" t="str">
        <f>VLOOKUP(N82,'fom-pulldowns'!$C$22:$D$31,2,FALSE)</f>
        <v>7</v>
      </c>
    </row>
    <row r="83" spans="1:15" ht="12.75">
      <c r="A83" s="218" t="str">
        <f>HYPERLINK("https://docs.google.com/open?id=0B8aL7M45OFh_MDVkYWZkZGMtMzQ1Yy00ODI4LTg5N2QtZDAxMDQ4NzM2M2E5","Catalog Sign-Up and Removal Form on Customer Service Page")</f>
        <v>Catalog Sign-Up and Removal Form on Customer Service Page</v>
      </c>
      <c r="B83" s="5"/>
      <c r="C83" s="7"/>
      <c r="D83" s="216"/>
      <c r="E83" s="165" t="str">
        <f t="shared" si="6"/>
        <v>1.00</v>
      </c>
      <c r="F83" s="173" t="s">
        <v>614</v>
      </c>
      <c r="G83" s="183" t="str">
        <f>VLOOKUP(F83,'fom-pulldowns'!$C$9:$D$18,2,FALSE)</f>
        <v>5</v>
      </c>
      <c r="H83" s="177" t="s">
        <v>652</v>
      </c>
      <c r="I83" s="187" t="str">
        <f>VLOOKUP(H83,'fom-pulldowns'!$C$22:$D$31,2,FALSE)</f>
        <v>2</v>
      </c>
      <c r="J83" s="192" t="s">
        <v>652</v>
      </c>
      <c r="K83" s="194" t="str">
        <f>VLOOKUP(J83,'fom-pulldowns'!$C$22:$D$31,2,FALSE)</f>
        <v>2</v>
      </c>
      <c r="L83" s="203" t="s">
        <v>620</v>
      </c>
      <c r="M83" s="205" t="str">
        <f>VLOOKUP(L83,'fom-pulldowns'!$C$22:$D$31,2,FALSE)</f>
        <v>1</v>
      </c>
      <c r="N83" s="213" t="s">
        <v>620</v>
      </c>
      <c r="O83" s="215" t="str">
        <f>VLOOKUP(N83,'fom-pulldowns'!$C$22:$D$31,2,FALSE)</f>
        <v>1</v>
      </c>
    </row>
    <row r="84" spans="1:15" ht="12.75">
      <c r="A84" s="126" t="str">
        <f>HYPERLINK("https://docs.google.com/open?id=0B8aL7M45OFh_c2VPYTVqV19hQkk","Baltics Rollout")</f>
        <v>Baltics Rollout</v>
      </c>
      <c r="B84" s="5"/>
      <c r="C84" s="7"/>
      <c r="D84" s="216"/>
      <c r="E84" s="165" t="str">
        <f t="shared" si="6"/>
        <v>0.70</v>
      </c>
      <c r="F84" s="173" t="s">
        <v>708</v>
      </c>
      <c r="G84" s="183" t="str">
        <f>VLOOKUP(F84,'fom-pulldowns'!$C$9:$D$18,2,FALSE)</f>
        <v>10</v>
      </c>
      <c r="H84" s="177" t="s">
        <v>620</v>
      </c>
      <c r="I84" s="187" t="str">
        <f>VLOOKUP(H84,'fom-pulldowns'!$C$22:$D$31,2,FALSE)</f>
        <v>1</v>
      </c>
      <c r="J84" s="192" t="s">
        <v>622</v>
      </c>
      <c r="K84" s="194" t="str">
        <f>VLOOKUP(J84,'fom-pulldowns'!$C$22:$D$31,2,FALSE)</f>
        <v>5</v>
      </c>
      <c r="L84" s="203" t="s">
        <v>620</v>
      </c>
      <c r="M84" s="205" t="str">
        <f>VLOOKUP(L84,'fom-pulldowns'!$C$22:$D$31,2,FALSE)</f>
        <v>1</v>
      </c>
      <c r="N84" s="213" t="s">
        <v>620</v>
      </c>
      <c r="O84" s="215" t="str">
        <f>VLOOKUP(N84,'fom-pulldowns'!$C$22:$D$31,2,FALSE)</f>
        <v>1</v>
      </c>
    </row>
    <row r="85" spans="1:15" ht="12.75">
      <c r="A85" s="126" t="str">
        <f>HYPERLINK("https://docs.google.com/open?id=0B8aL7M45OFh_Zjg4YzUxM2MtMTU4Mi00Y2Y4LWJlMWItNjRkOTNkMGIwM2Zl","Gift Card Bug Fix")</f>
        <v>Gift Card Bug Fix</v>
      </c>
      <c r="B85" s="5"/>
      <c r="C85" s="7"/>
      <c r="D85" s="216"/>
      <c r="E85" s="165" t="str">
        <f t="shared" si="6"/>
        <v>0.43</v>
      </c>
      <c r="F85" s="173" t="s">
        <v>691</v>
      </c>
      <c r="G85" s="183" t="str">
        <f>VLOOKUP(F85,'fom-pulldowns'!$C$9:$D$18,2,FALSE)</f>
        <v>7</v>
      </c>
      <c r="H85" s="177" t="s">
        <v>620</v>
      </c>
      <c r="I85" s="187" t="str">
        <f>VLOOKUP(H85,'fom-pulldowns'!$C$22:$D$31,2,FALSE)</f>
        <v>1</v>
      </c>
      <c r="J85" s="192" t="s">
        <v>620</v>
      </c>
      <c r="K85" s="194" t="str">
        <f>VLOOKUP(J85,'fom-pulldowns'!$C$22:$D$31,2,FALSE)</f>
        <v>1</v>
      </c>
      <c r="L85" s="203" t="s">
        <v>620</v>
      </c>
      <c r="M85" s="205" t="str">
        <f>VLOOKUP(L85,'fom-pulldowns'!$C$22:$D$31,2,FALSE)</f>
        <v>1</v>
      </c>
      <c r="N85" s="213" t="s">
        <v>620</v>
      </c>
      <c r="O85" s="215" t="str">
        <f>VLOOKUP(N85,'fom-pulldowns'!$C$22:$D$31,2,FALSE)</f>
        <v>1</v>
      </c>
    </row>
    <row r="86" spans="1:15" ht="12.75">
      <c r="A86" s="126" t="str">
        <f>HYPERLINK("https://docs.google.com/open?id=0B8aL7M45OFh_MnRjbzlVb3JTdks1UWEwWXBmMFFVZw","Kount (fraud management) in APAC")</f>
        <v>Kount (fraud management) in APAC</v>
      </c>
      <c r="B86" s="5"/>
      <c r="C86" s="7"/>
      <c r="D86" s="216"/>
      <c r="E86" s="165" t="str">
        <f t="shared" si="6"/>
        <v>0.43</v>
      </c>
      <c r="F86" s="173" t="s">
        <v>691</v>
      </c>
      <c r="G86" s="183" t="str">
        <f>VLOOKUP(F86,'fom-pulldowns'!$C$9:$D$18,2,FALSE)</f>
        <v>7</v>
      </c>
      <c r="H86" s="177" t="s">
        <v>620</v>
      </c>
      <c r="I86" s="187" t="str">
        <f>VLOOKUP(H86,'fom-pulldowns'!$C$22:$D$31,2,FALSE)</f>
        <v>1</v>
      </c>
      <c r="J86" s="192" t="s">
        <v>620</v>
      </c>
      <c r="K86" s="194" t="str">
        <f>VLOOKUP(J86,'fom-pulldowns'!$C$22:$D$31,2,FALSE)</f>
        <v>1</v>
      </c>
      <c r="L86" s="203" t="s">
        <v>620</v>
      </c>
      <c r="M86" s="205" t="str">
        <f>VLOOKUP(L86,'fom-pulldowns'!$C$22:$D$31,2,FALSE)</f>
        <v>1</v>
      </c>
      <c r="N86" s="213" t="s">
        <v>620</v>
      </c>
      <c r="O86" s="215" t="str">
        <f>VLOOKUP(N86,'fom-pulldowns'!$C$22:$D$31,2,FALSE)</f>
        <v>1</v>
      </c>
    </row>
    <row r="87" spans="1:15" ht="12.75">
      <c r="A87" s="218" t="str">
        <f>HYPERLINK("https://docs.google.com/open?id=0B8aL7M45OFh_ZWNlNzhmMjUtZTFmZC00ZGUxLWJlODUtN2Y1ZWUyNzJjMzE2","Seamless SMS-Opt-in Process Online")</f>
        <v>Seamless SMS-Opt-in Process Online</v>
      </c>
      <c r="B87" s="5"/>
      <c r="C87" s="7"/>
      <c r="D87" s="216"/>
      <c r="E87" s="165" t="str">
        <f t="shared" si="6"/>
        <v>0.60</v>
      </c>
      <c r="F87" s="173" t="s">
        <v>614</v>
      </c>
      <c r="G87" s="183" t="str">
        <f>VLOOKUP(F87,'fom-pulldowns'!$C$9:$D$18,2,FALSE)</f>
        <v>5</v>
      </c>
      <c r="H87" s="177" t="s">
        <v>620</v>
      </c>
      <c r="I87" s="187" t="str">
        <f>VLOOKUP(H87,'fom-pulldowns'!$C$22:$D$31,2,FALSE)</f>
        <v>1</v>
      </c>
      <c r="J87" s="192" t="s">
        <v>620</v>
      </c>
      <c r="K87" s="194" t="str">
        <f>VLOOKUP(J87,'fom-pulldowns'!$C$22:$D$31,2,FALSE)</f>
        <v>1</v>
      </c>
      <c r="L87" s="203" t="s">
        <v>620</v>
      </c>
      <c r="M87" s="205" t="str">
        <f>VLOOKUP(L87,'fom-pulldowns'!$C$22:$D$31,2,FALSE)</f>
        <v>1</v>
      </c>
      <c r="N87" s="213" t="s">
        <v>620</v>
      </c>
      <c r="O87" s="215" t="str">
        <f>VLOOKUP(N87,'fom-pulldowns'!$C$22:$D$31,2,FALSE)</f>
        <v>1</v>
      </c>
    </row>
    <row r="88" spans="1:15" ht="12.75">
      <c r="A88" s="126" t="str">
        <f>HYPERLINK("https://docs.google.com/file/d/0B8aL7M45OFh_OWthNFlmaElFMHM/edit","Improved Filters")</f>
        <v>Improved Filters</v>
      </c>
      <c r="B88" s="5"/>
      <c r="C88" s="7"/>
      <c r="D88" s="216"/>
      <c r="E88" s="165" t="str">
        <f t="shared" si="6"/>
        <v>0.60</v>
      </c>
      <c r="F88" s="173" t="s">
        <v>614</v>
      </c>
      <c r="G88" s="183" t="str">
        <f>VLOOKUP(F88,'fom-pulldowns'!$C$9:$D$18,2,FALSE)</f>
        <v>5</v>
      </c>
      <c r="H88" s="177" t="s">
        <v>620</v>
      </c>
      <c r="I88" s="187" t="str">
        <f>VLOOKUP(H88,'fom-pulldowns'!$C$22:$D$31,2,FALSE)</f>
        <v>1</v>
      </c>
      <c r="J88" s="192" t="s">
        <v>620</v>
      </c>
      <c r="K88" s="194" t="str">
        <f>VLOOKUP(J88,'fom-pulldowns'!$C$22:$D$31,2,FALSE)</f>
        <v>1</v>
      </c>
      <c r="L88" s="203" t="s">
        <v>620</v>
      </c>
      <c r="M88" s="205" t="str">
        <f>VLOOKUP(L88,'fom-pulldowns'!$C$22:$D$31,2,FALSE)</f>
        <v>1</v>
      </c>
      <c r="N88" s="213" t="s">
        <v>620</v>
      </c>
      <c r="O88" s="215" t="str">
        <f>VLOOKUP(N88,'fom-pulldowns'!$C$22:$D$31,2,FALSE)</f>
        <v>1</v>
      </c>
    </row>
    <row r="89" spans="1:15" ht="12.75">
      <c r="A89" s="126" t="str">
        <f>HYPERLINK("https://docs.google.com/open?id=0B8aL7M45OFh_SVFoOHhUMURSS2lEVEh4U3VCUllzdw","Field Change Request for Email Sign-up Page (APAC)")</f>
        <v>Field Change Request for Email Sign-up Page (APAC)</v>
      </c>
      <c r="B89" s="5"/>
      <c r="C89" s="7"/>
      <c r="D89" s="216"/>
      <c r="E89" s="165" t="str">
        <f>(I89+K89+M89+O89)/(G89)</f>
        <v>1.20</v>
      </c>
      <c r="F89" s="173" t="s">
        <v>614</v>
      </c>
      <c r="G89" s="183" t="str">
        <f>VLOOKUP(F89,'fom-pulldowns'!$C$9:$D$18,2,FALSE)</f>
        <v>5</v>
      </c>
      <c r="H89" s="177" t="s">
        <v>620</v>
      </c>
      <c r="I89" s="187" t="str">
        <f>VLOOKUP(H89,'fom-pulldowns'!$C$22:$D$31,2,FALSE)</f>
        <v>1</v>
      </c>
      <c r="J89" s="192" t="s">
        <v>620</v>
      </c>
      <c r="K89" s="194" t="str">
        <f>VLOOKUP(J89,'fom-pulldowns'!$C$22:$D$31,2,FALSE)</f>
        <v>1</v>
      </c>
      <c r="L89" s="203" t="s">
        <v>652</v>
      </c>
      <c r="M89" s="205" t="str">
        <f>VLOOKUP(L89,'fom-pulldowns'!$C$22:$D$31,2,FALSE)</f>
        <v>2</v>
      </c>
      <c r="N89" s="213" t="s">
        <v>652</v>
      </c>
      <c r="O89" s="215" t="str">
        <f>VLOOKUP(N89,'fom-pulldowns'!$C$22:$D$31,2,FALSE)</f>
        <v>2</v>
      </c>
    </row>
    <row r="90" spans="1:15" ht="12.75">
      <c r="A90" s="126" t="str">
        <f>HYPERLINK("https://docs.google.com/file/d/0B8aL7M45OFh_bndfVUM5WUF4dm8/edit","Improved RMA Messaging")</f>
        <v>Improved RMA Messaging</v>
      </c>
      <c r="B90" s="5"/>
      <c r="C90" s="7"/>
      <c r="D90" s="216"/>
      <c r="E90" s="165" t="str">
        <f>((I90+K90+M90+O90)/(G90))+(IF(MID(D90,1,1)="Y",1,0)+IF(MID(D90,3,1)="Y",1,0)+IF(MID(D90,5,1)="Y",1,0)+IF(MID(D90,7,1)="Y",1,0))/4</f>
        <v>2.00</v>
      </c>
      <c r="F90" s="173" t="s">
        <v>681</v>
      </c>
      <c r="G90" s="183" t="str">
        <f>VLOOKUP(F90,'fom-pulldowns'!$C$9:$D$18,2,FALSE)</f>
        <v>3</v>
      </c>
      <c r="H90" s="177" t="s">
        <v>620</v>
      </c>
      <c r="I90" s="187" t="str">
        <f>VLOOKUP(H90,'fom-pulldowns'!$C$22:$D$31,2,FALSE)</f>
        <v>1</v>
      </c>
      <c r="J90" s="192" t="s">
        <v>620</v>
      </c>
      <c r="K90" s="275">
        <v>3</v>
      </c>
      <c r="L90" s="203" t="s">
        <v>620</v>
      </c>
      <c r="M90" s="205" t="str">
        <f>VLOOKUP(L90,'fom-pulldowns'!$C$22:$D$31,2,FALSE)</f>
        <v>1</v>
      </c>
      <c r="N90" s="213" t="s">
        <v>620</v>
      </c>
      <c r="O90" s="215" t="str">
        <f>VLOOKUP(N90,'fom-pulldowns'!$C$22:$D$31,2,FALSE)</f>
        <v>1</v>
      </c>
    </row>
    <row r="91" spans="1:15" ht="12.75">
      <c r="A91" s="5"/>
      <c r="B91" s="5"/>
      <c r="C91" s="7"/>
      <c r="D91" s="216"/>
      <c r="E91" s="165"/>
      <c r="F91" s="184"/>
      <c r="G91" s="282"/>
      <c r="H91" s="284"/>
      <c r="I91" s="316"/>
      <c r="J91" s="318"/>
      <c r="K91" s="277"/>
      <c r="L91" s="320"/>
      <c r="M91" s="321"/>
      <c r="N91" s="358"/>
      <c r="O91" s="359"/>
    </row>
    <row r="92" spans="1:15" ht="12.75">
      <c r="A92" s="5"/>
      <c r="B92" s="5"/>
      <c r="C92" s="7"/>
      <c r="D92" s="216"/>
      <c r="E92" s="165"/>
      <c r="F92" s="184"/>
      <c r="G92" s="282"/>
      <c r="H92" s="284"/>
      <c r="I92" s="316"/>
      <c r="J92" s="318"/>
      <c r="K92" s="277"/>
      <c r="L92" s="320"/>
      <c r="M92" s="321"/>
      <c r="N92" s="358"/>
      <c r="O92" s="359"/>
    </row>
    <row r="93" spans="1:15" ht="12.75">
      <c r="A93" s="5"/>
      <c r="B93" s="5"/>
      <c r="C93" s="7"/>
      <c r="D93" s="216"/>
      <c r="E93" s="165"/>
      <c r="F93" s="184"/>
      <c r="G93" s="282"/>
      <c r="H93" s="284"/>
      <c r="I93" s="316"/>
      <c r="J93" s="318"/>
      <c r="K93" s="277"/>
      <c r="L93" s="320"/>
      <c r="M93" s="321"/>
      <c r="N93" s="358"/>
      <c r="O93" s="359"/>
    </row>
    <row r="94" spans="1:15" ht="12.75">
      <c r="A94" s="5"/>
      <c r="B94" s="5"/>
      <c r="C94" s="7"/>
      <c r="D94" s="216"/>
      <c r="E94" s="165"/>
      <c r="F94" s="184"/>
      <c r="G94" s="282"/>
      <c r="H94" s="284"/>
      <c r="I94" s="316"/>
      <c r="J94" s="318"/>
      <c r="K94" s="277"/>
      <c r="L94" s="320"/>
      <c r="M94" s="321"/>
      <c r="N94" s="358"/>
      <c r="O94" s="359"/>
    </row>
    <row r="95" spans="1:15" ht="12.75">
      <c r="A95" s="5"/>
      <c r="B95" s="5"/>
      <c r="C95" s="7"/>
      <c r="D95" s="216"/>
      <c r="E95" s="165"/>
      <c r="F95" s="184"/>
      <c r="G95" s="282"/>
      <c r="H95" s="284"/>
      <c r="I95" s="316"/>
      <c r="J95" s="318"/>
      <c r="K95" s="277"/>
      <c r="L95" s="320"/>
      <c r="M95" s="321"/>
      <c r="N95" s="358"/>
      <c r="O95" s="359"/>
    </row>
    <row r="96" spans="1:15" ht="12.75">
      <c r="A96" s="5"/>
      <c r="B96" s="5"/>
      <c r="C96" s="7"/>
      <c r="D96" s="216"/>
      <c r="E96" s="165"/>
      <c r="F96" s="184"/>
      <c r="G96" s="282"/>
      <c r="H96" s="284"/>
      <c r="I96" s="316"/>
      <c r="J96" s="318"/>
      <c r="K96" s="277"/>
      <c r="L96" s="320"/>
      <c r="M96" s="321"/>
      <c r="N96" s="358"/>
      <c r="O96" s="359"/>
    </row>
    <row r="97" spans="1:15" ht="12.75">
      <c r="A97" s="5"/>
      <c r="B97" s="5"/>
      <c r="C97" s="7"/>
      <c r="D97" s="216"/>
      <c r="E97" s="165"/>
      <c r="F97" s="184"/>
      <c r="G97" s="282"/>
      <c r="H97" s="284"/>
      <c r="I97" s="316"/>
      <c r="J97" s="318"/>
      <c r="K97" s="277"/>
      <c r="L97" s="320"/>
      <c r="M97" s="321"/>
      <c r="N97" s="358"/>
      <c r="O97" s="359"/>
    </row>
    <row r="98" spans="1:15" ht="12.75">
      <c r="A98" s="5"/>
      <c r="B98" s="5"/>
      <c r="C98" s="7"/>
      <c r="D98" s="216"/>
      <c r="E98" s="165"/>
      <c r="F98" s="184"/>
      <c r="G98" s="282"/>
      <c r="H98" s="284"/>
      <c r="I98" s="316"/>
      <c r="J98" s="318"/>
      <c r="K98" s="277"/>
      <c r="L98" s="320"/>
      <c r="M98" s="321"/>
      <c r="N98" s="358"/>
      <c r="O98" s="359"/>
    </row>
    <row r="99" spans="1:15" ht="12.75">
      <c r="A99" s="5"/>
      <c r="B99" s="5"/>
      <c r="C99" s="7"/>
      <c r="D99" s="216"/>
      <c r="E99" s="165"/>
      <c r="F99" s="184"/>
      <c r="G99" s="282"/>
      <c r="H99" s="284"/>
      <c r="I99" s="316"/>
      <c r="J99" s="318"/>
      <c r="K99" s="277"/>
      <c r="L99" s="320"/>
      <c r="M99" s="321"/>
      <c r="N99" s="358"/>
      <c r="O99" s="359"/>
    </row>
    <row r="100" spans="1:15" ht="12.75">
      <c r="A100" s="5"/>
      <c r="B100" s="5"/>
      <c r="C100" s="7"/>
      <c r="D100" s="216"/>
      <c r="E100" s="165"/>
      <c r="F100" s="184"/>
      <c r="G100" s="282"/>
      <c r="H100" s="284"/>
      <c r="I100" s="316"/>
      <c r="J100" s="318"/>
      <c r="K100" s="277"/>
      <c r="L100" s="320"/>
      <c r="M100" s="321"/>
      <c r="N100" s="358"/>
      <c r="O100" s="359"/>
    </row>
  </sheetData>
  <mergeCells count="10">
    <mergeCell ref="L1:M1"/>
    <mergeCell ref="N1:O1"/>
    <mergeCell ref="A1:A2"/>
    <mergeCell ref="B1:B2"/>
    <mergeCell ref="C1:C2"/>
    <mergeCell ref="D1:D2"/>
    <mergeCell ref="E1:E2"/>
    <mergeCell ref="F1:G1"/>
    <mergeCell ref="J1:K1"/>
    <mergeCell ref="H1:I1"/>
  </mergeCells>
  <dataValidations count="4">
    <dataValidation type="list" allowBlank="1" showErrorMessage="1" sqref="F31 F67 F72">
      <formula1>'APM w Legend'!$C$10:$C$19</formula1>
    </dataValidation>
    <dataValidation type="list" allowBlank="1" showErrorMessage="1" sqref="J31 L31 N31 J67 L67 N67 J72 L72 N72">
      <formula1>'APM w Legend'!$C$22:$C$31</formula1>
    </dataValidation>
    <dataValidation type="list" allowBlank="1" showErrorMessage="1" sqref="F3:F30 F32:F66 F68:F70 F73:F90">
      <formula1>'fom-pulldowns'!$C$9:$C$18</formula1>
    </dataValidation>
    <dataValidation type="list" allowBlank="1" showErrorMessage="1" sqref="H3:H30 J3:J30 L3:L30 N3:N30 H32:H66 J32:J66 L32:L66 N32:N66 H68:H70 J68:J70 L68:L70 N68:N70 H73:H90 J73:J90 L73:L90 N73:N90">
      <formula1>'fom-pulldowns'!$C$22:$C$31</formula1>
    </dataValidation>
  </dataValidations>
  <hyperlinks>
    <hyperlink ref="A5" r:id="rId1" display="https://docs.google.com/file/d/0B8aL7M45OFh_YVJTM1dFODdlSGM/edit?usp=sharing"/>
    <hyperlink ref="A6" r:id="rId2" display="https://docs.google.com/leaf?id=0B8aL7M45OFh_NWVlMzBhODYtOTg2Ny00NjljLWIzMmUtY2Q2ZjAzY2VjODRh&amp;hl=en_US&amp;authkey=CIXEreAI"/>
    <hyperlink ref="A7" r:id="rId3" display="https://docs.google.com/leaf?id=0B8aL7M45OFh_YTc0NjNjMzMtZWMyMi00M2VlLTg5MmItYWY3ODVjYjRlZjc1&amp;hl=en&amp;authkey=CJ3DpoEB"/>
    <hyperlink ref="A8" r:id="rId4" display="https://docs.google.com/document/d/152JbS-puW2n_RMM0yO17416n8WeMXPofwEOUtqmoV7I/edit?usp=sharing"/>
    <hyperlink ref="A9" r:id="rId5" display="https://docs.google.com/leaf?id=0B8aL7M45OFh_YzMxMmRmMzgtYTc4Yi00MjEyLWFmMTQtNDI5Y2Y5OGNiM2Ez&amp;hl=en_US"/>
    <hyperlink ref="A10" r:id="rId6" display="https://docs.google.com/open?id=0B8aL7M45OFh_Y2U0NjBhNzAtYWMyNC00ZGFhLWI2MmEtYjA3MDUzNTVhYjE4"/>
    <hyperlink ref="A11" r:id="rId7" display="https://docs.google.com/open?id=0B8aL7M45OFh_UDVFVHA5bTlRdXFJRkhDcWlrRDFhZw"/>
    <hyperlink ref="A12" r:id="rId8" display="https://docs.google.com/document/d/1c8XMgSIYIfVinaDa23Qoy9QI-DadL6TfFFEFKg6IJeY/edit"/>
    <hyperlink ref="A13" r:id="rId9" display="https://docs.google.com/document/d/104GcuVdpqyDEPBnIM6O3BJ3LnmQSmcQ6UNyl5T6XgMk/edit?usp=sharing"/>
    <hyperlink ref="A15" r:id="rId10" display="https://docs.google.com/document/d/1RXkBtRfwB0a_ZTw6Kf6JTq-ZZ2a8Xt3d9geMieAQJKA/edit"/>
    <hyperlink ref="A16" r:id="rId11" display="https://docs.google.com/open?id=0B8aL7M45OFh_NzRzNGhybzlUeFk"/>
    <hyperlink ref="A17" r:id="rId12" display="https://docs.google.com/file/d/0B8aL7M45OFh_VU9icmNNNkJmMU0/edit?usp=sharing"/>
    <hyperlink ref="A18" r:id="rId13" display="https://docs.google.com/open?id=0B8aL7M45OFh_Nmh6STQ5RjBITEE"/>
    <hyperlink ref="A19" r:id="rId14" display="https://docs.google.com/document/d/1b-fdc6i5uDWeew0gnVYJEBjjCG8DGMbGQ04qwAB3iyk/edit"/>
    <hyperlink ref="A20" r:id="rId15" display="https://docs.google.com/file/d/0B8aL7M45OFh_OTQ4eTBJRnVsRUE/edit?usp=sharing"/>
    <hyperlink ref="A21" r:id="rId16" display="https://docs.google.com/file/d/0B8aL7M45OFh_Q2hLdFlzR2pvd3M/edit?usp=sharing"/>
    <hyperlink ref="A22" r:id="rId17" display="https://docs.google.com/file/d/0B8aL7M45OFh_RXZiTjU1TmNXdms/edit?usp=sharing"/>
    <hyperlink ref="A23" r:id="rId18" display="https://docs.google.com/open?id=0B8aL7M45OFh_ZmRienpzSlBROWVxNzhUY1hPNmZGUQ"/>
    <hyperlink ref="A24" r:id="rId19" display="https://docs.google.com/file/d/0B8aL7M45OFh_Z2Vkd1RJRDl3dVU/edit?usp=sharing"/>
    <hyperlink ref="A25" r:id="rId20" display="https://docs.google.com/document/d/1HCntQoAWKszav-lXkmcYbU7fXx-QusBstGAh5eHPOug/edit?usp=sharing"/>
    <hyperlink ref="A26" r:id="rId21" display="https://docs.google.com/document/d/1r8U5FB1bDugjU-K1BEkhOqOpAWrM6XvrqUIym1Rh0TU/edit?usp=sharing"/>
    <hyperlink ref="A27" r:id="rId22" display="https://docs.google.com/document/d/1fPr1dQE_o-HmCs3wVBTd7gdEuoCQ36zPphEo2dV42UM/edit?usp=sharing"/>
    <hyperlink ref="A28" r:id="rId23" display="https://docs.google.com/open?id=0B8aL7M45OFh_cEdnWFRTX3NYSmM"/>
    <hyperlink ref="A29" r:id="rId24" display="https://docs.google.com/document/d/1HCntQoAWKszav-lXkmcYbU7fXx-QusBstGAh5eHPOug/edit?usp=sharing"/>
    <hyperlink ref="A30" r:id="rId25" display="https://drive.google.com/file/d/0BygetqmL3yfITjZPSGgtU0hkTlk/edit?usp=sharing"/>
    <hyperlink ref="A33" r:id="rId26" display="https://docs.google.com/file/d/0B8aL7M45OFh_bHVJU0M2QlIycXc/edit?usp=sharing"/>
    <hyperlink ref="A36" r:id="rId27" display="https://docs.google.com/document/d/1qZ8_nM4juWRr_qUkkYoe8NY2kQuwUTIolUo2RibNC7w/edit?usp=sharing"/>
    <hyperlink ref="A38" r:id="rId28" display="https://docs.google.com/document/d/1xfrDgi3yaInbSfXI0g2cH3a4BQhf9xIKnbGyP2_W3B0/edit?usp=sharing"/>
    <hyperlink ref="A39" r:id="rId29" display="https://docs.google.com/document/d/1RhA0d2DdGctUOhuJ1UxbTKa2TAnPh97ZCPi4EPZH3io/edit?usp=sharing"/>
    <hyperlink ref="A40" r:id="rId30" display="https://docs.google.com/document/d/1b5RTyL2onHp3jvtYy74zNKwcbAu88fWqM2Ewe1Q4Inc/edit"/>
    <hyperlink ref="A41" r:id="rId31" display="https://docs.google.com/document/d/1HgfI1xXWTfBifEGBfiR5bwBydcPnz38wvEIClDqM134/edit#heading=h.gjdgxs"/>
    <hyperlink ref="A42" r:id="rId32" display="https://docs.google.com/document/d/1hzxOGxFGkZuvJsEVfvDFDrgiauv7AS9lor6WlOFsBpI/edit?usp=sharing"/>
    <hyperlink ref="A43" r:id="rId33" display="https://docs.google.com/document/d/1kjJhDEmeJsaLKOBpoKHm0wqxAnw3AVDmJfmw650r7nM/edit#"/>
    <hyperlink ref="A44" r:id="rId34" display="https://docs.google.com/document/d/1mbWjoZszMnSaTdRbuSjUiDsbsjpJdDoOxZzr09s3SV4/edit#"/>
    <hyperlink ref="A45" r:id="rId35" display="https://docs.google.com/document/d/1Jse7NI60aV7WVV7CxY4jqsYEfdvkBGgHZcNXoHwRu6o/edit#heading=h.30j0zll"/>
    <hyperlink ref="A46" r:id="rId36" display="https://docs.google.com/document/d/13AKjC4v9Vs4J9OaXQ8fOsFCvOPcTzFdTfBcYYldiN_Y/edit#"/>
    <hyperlink ref="A48" r:id="rId37" display="https://docs.google.com/document/d/1owHK5uUp_zwCFA4OtxC0AdsM8aZb9yCzAhpZLGsF2i8/edit"/>
    <hyperlink ref="A49" r:id="rId38" display="https://docs.google.com/document/d/1q-meuyAgIiGw8ha1-Avq9lJUhwvzWp1mkg0BDtxkIKs/edit"/>
    <hyperlink ref="A51" r:id="rId39" display="https://docs.google.com/document/d/1I0sLy-An5bwJJZZ1MAyvLBzJ98KRoE2Et1RUbNP8Vok/edit"/>
    <hyperlink ref="A52" r:id="rId40" display="https://docs.google.com/document/d/1hZwK2w37XEh6TRuqJKkWoxZPQpVHMXMLzvqUL_4GGWY/edit"/>
    <hyperlink ref="A53" r:id="rId41" display="https://docs.google.com/document/d/1rRAIlK88FbcvZf6RXJUo9W8kCrTMRke_e916asw5gqo/edit"/>
    <hyperlink ref="A54" r:id="rId42" display="https://docs.google.com/document/d/1kNJyVfiuy_WDJ9AY9AhLgvnL9U9lWvcatT3Ene-TDE0/edit"/>
    <hyperlink ref="A55" r:id="rId43" display="https://docs.google.com/document/d/1kNJyVfiuy_WDJ9AY9AhLgvnL9U9lWvcatT3Ene-TDE0/edit"/>
    <hyperlink ref="A56" r:id="rId44" display="https://docs.google.com/document/d/1a4BJyx6OMlD8qinCV2zMzxsN45HeUilQABFU9zEyfRw/edit"/>
    <hyperlink ref="A57" r:id="rId45" display="https://docs.google.com/document/d/1uZAAOsXRzJXnoISRO0KhAO9s59wz6I7fun0Ff8LACbE/edit#"/>
    <hyperlink ref="A58" r:id="rId46" display="https://docs.google.com/document/d/1z1eVtIvyLiMGqXOoJ9oVKED9E3HL0jI7mBgE7kDS1z8/edit#"/>
    <hyperlink ref="A60" r:id="rId47" display="https://docs.google.com/document/d/1XmbMQSyseLC-mT2RZVCH8Le9gA7oetK2RvpBDFfCdzo/edit?usp=sharing"/>
    <hyperlink ref="A61" r:id="rId48" display="https://docs.google.com/document/d/1xn4H0Jk3Ae7xIWtSSbt8mJ_UxXQbSFHPElud9F3BC98/edit?usp=sharing"/>
    <hyperlink ref="A62" r:id="rId49" display="https://docs.google.com/document/d/1B6dCD9SmdR_kHQeECq4BCXs5Em54EFWheJuklVt-ifw/edit?usp=sharing"/>
    <hyperlink ref="A63" r:id="rId50" display="https://docs.google.com/document/d/1zeeTq3x59wW_8k5ZcUk8EULtCSeBSk3JlUQB6BFPfnY/edit#"/>
    <hyperlink ref="A68" r:id="rId51" display="https://docs.google.com/document/d/1Cfw-qy1Ut-mDOLXei94UqCC3RH78TPWtLVvoosMJdWI/edit?usp=sharing"/>
    <hyperlink ref="A69" r:id="rId52" display="https://docs.google.com/document/d/1z-7tAbe8coBUClT5JRToJnyfNIQSdo-k9FVHeKMo8ds/edit#heading=h.gjdgxs"/>
    <hyperlink ref="A74" r:id="rId53" display="https://docs.google.com/file/d/0B8aL7M45OFh_cGVGZ2l6cFdULVE/edit?usp=sharing"/>
    <hyperlink ref="A75" r:id="rId54" display="https://docs.google.com/document/d/1e3C0zoq4FuJ034djBLrTAZW14QVlR24uHdDMMjdwBWc/edit?usp=sharing"/>
    <hyperlink ref="A76" r:id="rId55" display="https://docs.google.com/leaf?id=0B8aL7M45OFh_MmQ5NjdkN2MtYmExYi00YzI3LWJlNWMtN2YxZWMxZGJkZjQ4&amp;hl=en_US&amp;authkey=CPunlMYO"/>
    <hyperlink ref="A77" r:id="rId56" display="https://docs.google.com/open?id=0B8aL7M45OFh_NThiZmYzZGItZGZkZC00MTU4LThkYjItMGY0NjBjMmE0ZTFh"/>
    <hyperlink ref="A78" r:id="rId57" display="https://docs.google.com/document/d/1Erjpuv3nvNExWh_oV9Z5q6D6M2EGgqZemwa1lRo2ry0/edit#heading=h.30j0zll"/>
    <hyperlink ref="A79" r:id="rId58" display="https://docs.google.com/file/d/0B8aL7M45OFh_bG5ReldxdGxGNzQ/edit?usp=sharing"/>
    <hyperlink ref="A80" r:id="rId59" display="https://docs.google.com/open?id=0B8aL7M45OFh_MzE0N2I4MmUtNTEwMC00NDg3LWFhZDgtODBlZGFhMTgxYTgy"/>
    <hyperlink ref="A81" r:id="rId60" display="https://docs.google.com/open?id=0B8aL7M45OFh_UkV3eXp0bkctZ2c"/>
    <hyperlink ref="A82" r:id="rId61" display="https://docs.google.com/file/d/0B8aL7M45OFh_V29JcXBtVTA0X2c/edit?usp=sharing"/>
    <hyperlink ref="A83" r:id="rId62" display="https://docs.google.com/open?id=0B8aL7M45OFh_MDVkYWZkZGMtMzQ1Yy00ODI4LTg5N2QtZDAxMDQ4NzM2M2E5"/>
    <hyperlink ref="A84" r:id="rId63" display="https://docs.google.com/open?id=0B8aL7M45OFh_c2VPYTVqV19hQkk"/>
    <hyperlink ref="A85" r:id="rId64" display="https://docs.google.com/open?id=0B8aL7M45OFh_Zjg4YzUxM2MtMTU4Mi00Y2Y4LWJlMWItNjRkOTNkMGIwM2Zl"/>
    <hyperlink ref="A86" r:id="rId65" display="https://docs.google.com/open?id=0B8aL7M45OFh_MnRjbzlVb3JTdks1UWEwWXBmMFFVZw"/>
    <hyperlink ref="A87" r:id="rId66" display="https://docs.google.com/open?id=0B8aL7M45OFh_ZWNlNzhmMjUtZTFmZC00ZGUxLWJlODUtN2Y1ZWUyNzJjMzE2"/>
    <hyperlink ref="A88" r:id="rId67" display="https://docs.google.com/file/d/0B8aL7M45OFh_OWthNFlmaElFMHM/edit"/>
    <hyperlink ref="A89" r:id="rId68" display="https://docs.google.com/open?id=0B8aL7M45OFh_SVFoOHhUMURSS2lEVEh4U3VCUllzdw"/>
    <hyperlink ref="A90" r:id="rId69" display="https://docs.google.com/file/d/0B8aL7M45OFh_bndfVUM5WUF4dm8/edit"/>
  </hyperlinks>
  <printOptions/>
  <pageMargins left="0.75" right="0.75" top="1" bottom="1" header="0.5" footer="0.5"/>
  <pageSetup orientation="portrait" paperSize="9"/>
  <legacyDrawing r:id="rId7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V39"/>
  <sheetViews>
    <sheetView workbookViewId="0" topLeftCell="A1"/>
  </sheetViews>
  <sheetFormatPr defaultColWidth="14.421875" defaultRowHeight="12.75" customHeight="1"/>
  <cols>
    <col min="1" max="1" width="12.140625" style="0" customWidth="1"/>
    <col min="2" max="2" width="13.7109375" style="0" customWidth="1"/>
    <col min="3" max="3" width="24.57421875" style="0" customWidth="1"/>
    <col min="4" max="4" width="9.7109375" style="0" customWidth="1"/>
    <col min="5" max="5" width="5.8515625" style="0" customWidth="1"/>
    <col min="6" max="8" width="3.140625" style="0" customWidth="1"/>
    <col min="9" max="13" width="2.140625" style="0" customWidth="1"/>
    <col min="14" max="20" width="3.421875" style="0" customWidth="1"/>
    <col min="21" max="21" width="8.421875" style="0" customWidth="1"/>
    <col min="22" max="22" width="9.57421875" style="0" customWidth="1"/>
  </cols>
  <sheetData>
    <row r="1" spans="1:22" ht="15.75" customHeight="1">
      <c r="A1" s="6" t="s">
        <v>64</v>
      </c>
      <c r="B1" s="42"/>
      <c r="C1" s="44"/>
      <c r="D1" s="75" t="s">
        <v>233</v>
      </c>
      <c r="E1" s="76">
        <v>0</v>
      </c>
      <c r="F1" s="34" t="s">
        <v>238</v>
      </c>
      <c r="G1" s="77" t="s">
        <v>239</v>
      </c>
      <c r="H1" s="79"/>
      <c r="I1" s="80"/>
      <c r="J1" s="80"/>
      <c r="K1" s="80"/>
      <c r="L1" s="80"/>
      <c r="M1" s="80"/>
      <c r="N1" s="80"/>
      <c r="O1" s="80"/>
      <c r="P1" s="80"/>
      <c r="Q1" s="80"/>
      <c r="R1" s="80"/>
      <c r="S1" s="80"/>
      <c r="T1" s="80"/>
      <c r="U1" s="80"/>
      <c r="V1" s="80"/>
    </row>
    <row r="2" spans="1:22" ht="15.75" customHeight="1">
      <c r="A2" s="81" t="s">
        <v>240</v>
      </c>
      <c r="B2" s="83">
        <v>7</v>
      </c>
      <c r="C2" s="85" t="e">
        <f>VLOOKUP(B2,#REF!,3)&amp;" size + Dur:"</f>
        <v>#REF!</v>
      </c>
      <c r="D2" s="114" t="e">
        <f>VLOOKUP(B2,#REF!,4)</f>
        <v>#REF!</v>
      </c>
      <c r="E2" s="116" t="s">
        <v>353</v>
      </c>
      <c r="F2" s="42"/>
      <c r="G2" s="42"/>
      <c r="H2" s="42"/>
      <c r="I2" s="42"/>
      <c r="J2" s="42"/>
      <c r="K2" s="42"/>
      <c r="L2" s="42"/>
      <c r="M2" s="42"/>
      <c r="N2" s="42"/>
      <c r="O2" s="42"/>
      <c r="P2" s="42"/>
      <c r="Q2" s="42"/>
      <c r="R2" s="42"/>
      <c r="S2" s="42"/>
      <c r="T2" s="42"/>
      <c r="U2" s="156"/>
      <c r="V2" s="158"/>
    </row>
    <row r="3" spans="1:22" ht="15" customHeight="1">
      <c r="A3" s="81" t="s">
        <v>10</v>
      </c>
      <c r="B3" s="81" t="s">
        <v>4</v>
      </c>
      <c r="C3" s="166" t="s">
        <v>555</v>
      </c>
      <c r="D3" s="166" t="s">
        <v>576</v>
      </c>
      <c r="E3" s="81">
        <v>1</v>
      </c>
      <c r="F3" s="168" t="str">
        <f aca="true" t="shared" si="0" ref="F3:T3">E3+1</f>
        <v>2</v>
      </c>
      <c r="G3" s="168" t="str">
        <f t="shared" si="0"/>
        <v>3</v>
      </c>
      <c r="H3" s="168" t="str">
        <f t="shared" si="0"/>
        <v>4</v>
      </c>
      <c r="I3" s="168" t="str">
        <f t="shared" si="0"/>
        <v>5</v>
      </c>
      <c r="J3" s="168" t="str">
        <f t="shared" si="0"/>
        <v>6</v>
      </c>
      <c r="K3" s="168" t="str">
        <f t="shared" si="0"/>
        <v>7</v>
      </c>
      <c r="L3" s="168" t="str">
        <f t="shared" si="0"/>
        <v>8</v>
      </c>
      <c r="M3" s="168" t="str">
        <f t="shared" si="0"/>
        <v>9</v>
      </c>
      <c r="N3" s="168" t="str">
        <f t="shared" si="0"/>
        <v>10</v>
      </c>
      <c r="O3" s="168" t="str">
        <f t="shared" si="0"/>
        <v>11</v>
      </c>
      <c r="P3" s="168" t="str">
        <f t="shared" si="0"/>
        <v>12</v>
      </c>
      <c r="Q3" s="168" t="str">
        <f t="shared" si="0"/>
        <v>13</v>
      </c>
      <c r="R3" s="168" t="str">
        <f t="shared" si="0"/>
        <v>14</v>
      </c>
      <c r="S3" s="168" t="str">
        <f t="shared" si="0"/>
        <v>15</v>
      </c>
      <c r="T3" s="168" t="str">
        <f t="shared" si="0"/>
        <v>16</v>
      </c>
      <c r="U3" s="166" t="s">
        <v>580</v>
      </c>
      <c r="V3" s="166" t="s">
        <v>581</v>
      </c>
    </row>
    <row r="4" spans="1:22" ht="15" customHeight="1">
      <c r="A4" s="123" t="s">
        <v>155</v>
      </c>
      <c r="B4" s="123" t="s">
        <v>578</v>
      </c>
      <c r="C4" s="169" t="s">
        <v>579</v>
      </c>
      <c r="D4" s="170">
        <v>0.25</v>
      </c>
      <c r="E4" s="174" t="e">
        <f>IF($G1="Y",0,IF(($E1&lt;E3),VLOOKUP($D2&amp;$C4,#REF!,E3-$E1+1,FALSE)*'resource-variables'!$C$2*$D4,0))</f>
        <v>#REF!</v>
      </c>
      <c r="F4" s="174" t="e">
        <f>IF($G1="Y",0,IF(($E1&lt;F3),VLOOKUP($D2&amp;$C4,#REF!,F3-$E1+1,FALSE)*'resource-variables'!$C$2*$D4,0))</f>
        <v>#REF!</v>
      </c>
      <c r="G4" s="174" t="e">
        <f>IF($G1="Y",0,IF(($E1&lt;G3),VLOOKUP($D2&amp;$C4,#REF!,G3-$E1+1,FALSE)*'resource-variables'!$C$2*$D4,0))</f>
        <v>#REF!</v>
      </c>
      <c r="H4" s="174" t="e">
        <f>IF($G1="Y",0,IF(($E1&lt;H3),VLOOKUP($D2&amp;$C4,#REF!,H3-$E1+1,FALSE)*'resource-variables'!$C$2*$D4,0))</f>
        <v>#REF!</v>
      </c>
      <c r="I4" s="174" t="e">
        <f>IF($G1="Y",0,IF(($E1&lt;I3),VLOOKUP($D2&amp;$C4,#REF!,I3-$E1+1,FALSE)*'resource-variables'!$C$2*$D4,0))</f>
        <v>#REF!</v>
      </c>
      <c r="J4" s="174" t="e">
        <f>IF($G1="Y",0,IF(($E1&lt;J3),VLOOKUP($D2&amp;$C4,#REF!,J3-$E1+1,FALSE)*'resource-variables'!$C$2*$D4,0))</f>
        <v>#REF!</v>
      </c>
      <c r="K4" s="174" t="e">
        <f>IF($G1="Y",0,IF(($E1&lt;K3),VLOOKUP($D2&amp;$C4,#REF!,K3-$E1+1,FALSE)*'resource-variables'!$C$2*$D4,0))</f>
        <v>#REF!</v>
      </c>
      <c r="L4" s="174" t="e">
        <f>IF($G1="Y",0,IF(($E1&lt;L3),VLOOKUP($D2&amp;$C4,#REF!,L3-$E1+1,FALSE)*'resource-variables'!$C$2*$D4,0))</f>
        <v>#REF!</v>
      </c>
      <c r="M4" s="174" t="e">
        <f>IF($G1="Y",0,IF(($E1&lt;M3),VLOOKUP($D2&amp;$C4,#REF!,M3-$E1+1,FALSE)*'resource-variables'!$C$2*$D4,0))</f>
        <v>#REF!</v>
      </c>
      <c r="N4" s="174" t="e">
        <f>IF($G1="Y",0,IF(($E1&lt;N3),VLOOKUP($D2&amp;$C4,#REF!,N3-$E1+1,FALSE)*'resource-variables'!$C$2*$D4,0))</f>
        <v>#REF!</v>
      </c>
      <c r="O4" s="174" t="e">
        <f>IF($G1="Y",0,IF(($E1&lt;O3),VLOOKUP($D2&amp;$C4,#REF!,O3-$E1+1,FALSE)*'resource-variables'!$C$2*$D4,0))</f>
        <v>#REF!</v>
      </c>
      <c r="P4" s="174" t="e">
        <f>IF($G1="Y",0,IF(($E1&lt;P3),VLOOKUP($D2&amp;$C4,#REF!,P3-$E1+1,FALSE)*'resource-variables'!$C$2*$D4,0))</f>
        <v>#REF!</v>
      </c>
      <c r="Q4" s="174" t="e">
        <f>IF($G1="Y",0,IF(($E1&lt;Q3),VLOOKUP($D2&amp;$C4,#REF!,Q3-$E1+1,FALSE)*'resource-variables'!$C$2*$D4,0))</f>
        <v>#REF!</v>
      </c>
      <c r="R4" s="174" t="e">
        <f>IF($G1="Y",0,IF(($E1&lt;R3),VLOOKUP($D2&amp;$C4,#REF!,R3-$E1+1,FALSE)*'resource-variables'!$C$2*$D4,0))</f>
        <v>#REF!</v>
      </c>
      <c r="S4" s="174" t="e">
        <f>IF($G1="Y",0,IF(($E1&lt;S3),VLOOKUP($D2&amp;$C4,#REF!,S3-$E1+1,FALSE)*'resource-variables'!$C$2*$D4,0))</f>
        <v>#REF!</v>
      </c>
      <c r="T4" s="174" t="e">
        <f>IF($G1="Y",0,IF(($E1&lt;T3),VLOOKUP($D2&amp;$C4,#REF!,T3-$E1+1,FALSE)*'resource-variables'!$C$2*$D4,0))</f>
        <v>#REF!</v>
      </c>
      <c r="U4" s="188" t="e">
        <f aca="true" t="shared" si="1" ref="U4:U10">SUM(E4:T4)</f>
        <v>#REF!</v>
      </c>
      <c r="V4" s="200" t="e">
        <f aca="true" t="shared" si="2" ref="V4:V10">U4*#REF!</f>
        <v>#REF!</v>
      </c>
    </row>
    <row r="5" spans="1:22" ht="15" customHeight="1">
      <c r="A5" s="123" t="s">
        <v>582</v>
      </c>
      <c r="B5" s="123" t="s">
        <v>583</v>
      </c>
      <c r="C5" s="169" t="s">
        <v>584</v>
      </c>
      <c r="D5" s="170">
        <v>0.25</v>
      </c>
      <c r="E5" s="174" t="e">
        <f>IF($G1="Y",0,IF(($E1&lt;E3),VLOOKUP($D2&amp;$C5,#REF!,E3-$E1+1,FALSE)*'resource-variables'!$C$2*$D5,0))</f>
        <v>#REF!</v>
      </c>
      <c r="F5" s="174" t="e">
        <f>IF($G1="Y",0,IF(($E1&lt;F3),VLOOKUP($D2&amp;$C5,#REF!,F3-$E1+1,FALSE)*'resource-variables'!$C$2*$D5,0))</f>
        <v>#REF!</v>
      </c>
      <c r="G5" s="174" t="e">
        <f>IF($G1="Y",0,IF(($E1&lt;G3),VLOOKUP($D2&amp;$C5,#REF!,G3-$E1+1,FALSE)*'resource-variables'!$C$2*$D5,0))</f>
        <v>#REF!</v>
      </c>
      <c r="H5" s="174" t="e">
        <f>IF($G1="Y",0,IF(($E1&lt;H3),VLOOKUP($D2&amp;$C5,#REF!,H3-$E1+1,FALSE)*'resource-variables'!$C$2*$D5,0))</f>
        <v>#REF!</v>
      </c>
      <c r="I5" s="174" t="e">
        <f>IF($G1="Y",0,IF(($E1&lt;I3),VLOOKUP($D2&amp;$C5,#REF!,I3-$E1+1,FALSE)*'resource-variables'!$C$2*$D5,0))</f>
        <v>#REF!</v>
      </c>
      <c r="J5" s="174" t="e">
        <f>IF($G1="Y",0,IF(($E1&lt;J3),VLOOKUP($D2&amp;$C5,#REF!,J3-$E1+1,FALSE)*'resource-variables'!$C$2*$D5,0))</f>
        <v>#REF!</v>
      </c>
      <c r="K5" s="174" t="e">
        <f>IF($G1="Y",0,IF(($E1&lt;K3),VLOOKUP($D2&amp;$C5,#REF!,K3-$E1+1,FALSE)*'resource-variables'!$C$2*$D5,0))</f>
        <v>#REF!</v>
      </c>
      <c r="L5" s="174" t="e">
        <f>IF($G1="Y",0,IF(($E1&lt;L3),VLOOKUP($D2&amp;$C5,#REF!,L3-$E1+1,FALSE)*'resource-variables'!$C$2*$D5,0))</f>
        <v>#REF!</v>
      </c>
      <c r="M5" s="174" t="e">
        <f>IF($G1="Y",0,IF(($E1&lt;M3),VLOOKUP($D2&amp;$C5,#REF!,M3-$E1+1,FALSE)*'resource-variables'!$C$2*$D5,0))</f>
        <v>#REF!</v>
      </c>
      <c r="N5" s="174" t="e">
        <f>IF($G1="Y",0,IF(($E1&lt;N3),VLOOKUP($D2&amp;$C5,#REF!,N3-$E1+1,FALSE)*'resource-variables'!$C$2*$D5,0))</f>
        <v>#REF!</v>
      </c>
      <c r="O5" s="174" t="e">
        <f>IF($G1="Y",0,IF(($E1&lt;O3),VLOOKUP($D2&amp;$C5,#REF!,O3-$E1+1,FALSE)*'resource-variables'!$C$2*$D5,0))</f>
        <v>#REF!</v>
      </c>
      <c r="P5" s="174" t="e">
        <f>IF($G1="Y",0,IF(($E1&lt;P3),VLOOKUP($D2&amp;$C5,#REF!,P3-$E1+1,FALSE)*'resource-variables'!$C$2*$D5,0))</f>
        <v>#REF!</v>
      </c>
      <c r="Q5" s="174" t="e">
        <f>IF($G1="Y",0,IF(($E1&lt;Q3),VLOOKUP($D2&amp;$C5,#REF!,Q3-$E1+1,FALSE)*'resource-variables'!$C$2*$D5,0))</f>
        <v>#REF!</v>
      </c>
      <c r="R5" s="174" t="e">
        <f>IF($G1="Y",0,IF(($E1&lt;R3),VLOOKUP($D2&amp;$C5,#REF!,R3-$E1+1,FALSE)*'resource-variables'!$C$2*$D5,0))</f>
        <v>#REF!</v>
      </c>
      <c r="S5" s="174" t="e">
        <f>IF($G1="Y",0,IF(($E1&lt;S3),VLOOKUP($D2&amp;$C5,#REF!,S3-$E1+1,FALSE)*'resource-variables'!$C$2*$D5,0))</f>
        <v>#REF!</v>
      </c>
      <c r="T5" s="174" t="e">
        <f>IF($G1="Y",0,IF(($E1&lt;T3),VLOOKUP($D2&amp;$C5,#REF!,T3-$E1+1,FALSE)*'resource-variables'!$C$2*$D5,0))</f>
        <v>#REF!</v>
      </c>
      <c r="U5" s="188" t="e">
        <f t="shared" si="1"/>
        <v>#REF!</v>
      </c>
      <c r="V5" s="200" t="e">
        <f t="shared" si="2"/>
        <v>#REF!</v>
      </c>
    </row>
    <row r="6" spans="1:22" ht="15" customHeight="1">
      <c r="A6" s="123" t="s">
        <v>585</v>
      </c>
      <c r="B6" s="123" t="s">
        <v>586</v>
      </c>
      <c r="C6" s="169" t="s">
        <v>584</v>
      </c>
      <c r="D6" s="170">
        <v>0.05</v>
      </c>
      <c r="E6" s="174" t="e">
        <f>IF($G1="Y",0,IF(($E1&lt;E3),VLOOKUP($D2&amp;$C6,#REF!,E3-$E1+1,FALSE)*'resource-variables'!$C$2*$D6,0))</f>
        <v>#REF!</v>
      </c>
      <c r="F6" s="174" t="e">
        <f>IF($G1="Y",0,IF(($E1&lt;F3),VLOOKUP($D2&amp;$C6,#REF!,F3-$E1+1,FALSE)*'resource-variables'!$C$2*$D6,0))</f>
        <v>#REF!</v>
      </c>
      <c r="G6" s="174" t="e">
        <f>IF($G1="Y",0,IF(($E1&lt;G3),VLOOKUP($D2&amp;$C6,#REF!,G3-$E1+1,FALSE)*'resource-variables'!$C$2*$D6,0))</f>
        <v>#REF!</v>
      </c>
      <c r="H6" s="174" t="e">
        <f>IF($G1="Y",0,IF(($E1&lt;H3),VLOOKUP($D2&amp;$C6,#REF!,H3-$E1+1,FALSE)*'resource-variables'!$C$2*$D6,0))</f>
        <v>#REF!</v>
      </c>
      <c r="I6" s="174" t="e">
        <f>IF($G1="Y",0,IF(($E1&lt;I3),VLOOKUP($D2&amp;$C6,#REF!,I3-$E1+1,FALSE)*'resource-variables'!$C$2*$D6,0))</f>
        <v>#REF!</v>
      </c>
      <c r="J6" s="174" t="e">
        <f>IF($G1="Y",0,IF(($E1&lt;J3),VLOOKUP($D2&amp;$C6,#REF!,J3-$E1+1,FALSE)*'resource-variables'!$C$2*$D6,0))</f>
        <v>#REF!</v>
      </c>
      <c r="K6" s="174" t="e">
        <f>IF($G1="Y",0,IF(($E1&lt;K3),VLOOKUP($D2&amp;$C6,#REF!,K3-$E1+1,FALSE)*'resource-variables'!$C$2*$D6,0))</f>
        <v>#REF!</v>
      </c>
      <c r="L6" s="174" t="e">
        <f>IF($G1="Y",0,IF(($E1&lt;L3),VLOOKUP($D2&amp;$C6,#REF!,L3-$E1+1,FALSE)*'resource-variables'!$C$2*$D6,0))</f>
        <v>#REF!</v>
      </c>
      <c r="M6" s="174" t="e">
        <f>IF($G1="Y",0,IF(($E1&lt;M3),VLOOKUP($D2&amp;$C6,#REF!,M3-$E1+1,FALSE)*'resource-variables'!$C$2*$D6,0))</f>
        <v>#REF!</v>
      </c>
      <c r="N6" s="174" t="e">
        <f>IF($G1="Y",0,IF(($E1&lt;N3),VLOOKUP($D2&amp;$C6,#REF!,N3-$E1+1,FALSE)*'resource-variables'!$C$2*$D6,0))</f>
        <v>#REF!</v>
      </c>
      <c r="O6" s="174" t="e">
        <f>IF($G1="Y",0,IF(($E1&lt;O3),VLOOKUP($D2&amp;$C6,#REF!,O3-$E1+1,FALSE)*'resource-variables'!$C$2*$D6,0))</f>
        <v>#REF!</v>
      </c>
      <c r="P6" s="174" t="e">
        <f>IF($G1="Y",0,IF(($E1&lt;P3),VLOOKUP($D2&amp;$C6,#REF!,P3-$E1+1,FALSE)*'resource-variables'!$C$2*$D6,0))</f>
        <v>#REF!</v>
      </c>
      <c r="Q6" s="174" t="e">
        <f>IF($G1="Y",0,IF(($E1&lt;Q3),VLOOKUP($D2&amp;$C6,#REF!,Q3-$E1+1,FALSE)*'resource-variables'!$C$2*$D6,0))</f>
        <v>#REF!</v>
      </c>
      <c r="R6" s="174" t="e">
        <f>IF($G1="Y",0,IF(($E1&lt;R3),VLOOKUP($D2&amp;$C6,#REF!,R3-$E1+1,FALSE)*'resource-variables'!$C$2*$D6,0))</f>
        <v>#REF!</v>
      </c>
      <c r="S6" s="174" t="e">
        <f>IF($G1="Y",0,IF(($E1&lt;S3),VLOOKUP($D2&amp;$C6,#REF!,S3-$E1+1,FALSE)*'resource-variables'!$C$2*$D6,0))</f>
        <v>#REF!</v>
      </c>
      <c r="T6" s="174" t="e">
        <f>IF($G1="Y",0,IF(($E1&lt;T3),VLOOKUP($D2&amp;$C6,#REF!,T3-$E1+1,FALSE)*'resource-variables'!$C$2*$D6,0))</f>
        <v>#REF!</v>
      </c>
      <c r="U6" s="188" t="e">
        <f t="shared" si="1"/>
        <v>#REF!</v>
      </c>
      <c r="V6" s="200" t="e">
        <f t="shared" si="2"/>
        <v>#REF!</v>
      </c>
    </row>
    <row r="7" spans="1:22" ht="15" customHeight="1">
      <c r="A7" s="123" t="s">
        <v>588</v>
      </c>
      <c r="B7" s="123" t="s">
        <v>589</v>
      </c>
      <c r="C7" s="169" t="s">
        <v>590</v>
      </c>
      <c r="D7" s="170">
        <v>0.05</v>
      </c>
      <c r="E7" s="174" t="e">
        <f>IF($G1="Y",0,IF(($E1&lt;E3),VLOOKUP($D2&amp;$C7,#REF!,E3-$E1+1,FALSE)*'resource-variables'!$C$2*$D7,0))</f>
        <v>#REF!</v>
      </c>
      <c r="F7" s="174" t="e">
        <f>IF($G1="Y",0,IF(($E1&lt;F3),VLOOKUP($D2&amp;$C7,#REF!,F3-$E1+1,FALSE)*'resource-variables'!$C$2*$D7,0))</f>
        <v>#REF!</v>
      </c>
      <c r="G7" s="174" t="e">
        <f>IF($G1="Y",0,IF(($E1&lt;G3),VLOOKUP($D2&amp;$C7,#REF!,G3-$E1+1,FALSE)*'resource-variables'!$C$2*$D7,0))</f>
        <v>#REF!</v>
      </c>
      <c r="H7" s="174" t="e">
        <f>IF($G1="Y",0,IF(($E1&lt;H3),VLOOKUP($D2&amp;$C7,#REF!,H3-$E1+1,FALSE)*'resource-variables'!$C$2*$D7,0))</f>
        <v>#REF!</v>
      </c>
      <c r="I7" s="174" t="e">
        <f>IF($G1="Y",0,IF(($E1&lt;I3),VLOOKUP($D2&amp;$C7,#REF!,I3-$E1+1,FALSE)*'resource-variables'!$C$2*$D7,0))</f>
        <v>#REF!</v>
      </c>
      <c r="J7" s="174" t="e">
        <f>IF($G1="Y",0,IF(($E1&lt;J3),VLOOKUP($D2&amp;$C7,#REF!,J3-$E1+1,FALSE)*'resource-variables'!$C$2*$D7,0))</f>
        <v>#REF!</v>
      </c>
      <c r="K7" s="174" t="e">
        <f>IF($G1="Y",0,IF(($E1&lt;K3),VLOOKUP($D2&amp;$C7,#REF!,K3-$E1+1,FALSE)*'resource-variables'!$C$2*$D7,0))</f>
        <v>#REF!</v>
      </c>
      <c r="L7" s="174" t="e">
        <f>IF($G1="Y",0,IF(($E1&lt;L3),VLOOKUP($D2&amp;$C7,#REF!,L3-$E1+1,FALSE)*'resource-variables'!$C$2*$D7,0))</f>
        <v>#REF!</v>
      </c>
      <c r="M7" s="174" t="e">
        <f>IF($G1="Y",0,IF(($E1&lt;M3),VLOOKUP($D2&amp;$C7,#REF!,M3-$E1+1,FALSE)*'resource-variables'!$C$2*$D7,0))</f>
        <v>#REF!</v>
      </c>
      <c r="N7" s="174" t="e">
        <f>IF($G1="Y",0,IF(($E1&lt;N3),VLOOKUP($D2&amp;$C7,#REF!,N3-$E1+1,FALSE)*'resource-variables'!$C$2*$D7,0))</f>
        <v>#REF!</v>
      </c>
      <c r="O7" s="174" t="e">
        <f>IF($G1="Y",0,IF(($E1&lt;O3),VLOOKUP($D2&amp;$C7,#REF!,O3-$E1+1,FALSE)*'resource-variables'!$C$2*$D7,0))</f>
        <v>#REF!</v>
      </c>
      <c r="P7" s="174" t="e">
        <f>IF($G1="Y",0,IF(($E1&lt;P3),VLOOKUP($D2&amp;$C7,#REF!,P3-$E1+1,FALSE)*'resource-variables'!$C$2*$D7,0))</f>
        <v>#REF!</v>
      </c>
      <c r="Q7" s="174" t="e">
        <f>IF($G1="Y",0,IF(($E1&lt;Q3),VLOOKUP($D2&amp;$C7,#REF!,Q3-$E1+1,FALSE)*'resource-variables'!$C$2*$D7,0))</f>
        <v>#REF!</v>
      </c>
      <c r="R7" s="174" t="e">
        <f>IF($G1="Y",0,IF(($E1&lt;R3),VLOOKUP($D2&amp;$C7,#REF!,R3-$E1+1,FALSE)*'resource-variables'!$C$2*$D7,0))</f>
        <v>#REF!</v>
      </c>
      <c r="S7" s="174" t="e">
        <f>IF($G1="Y",0,IF(($E1&lt;S3),VLOOKUP($D2&amp;$C7,#REF!,S3-$E1+1,FALSE)*'resource-variables'!$C$2*$D7,0))</f>
        <v>#REF!</v>
      </c>
      <c r="T7" s="174" t="e">
        <f>IF($G1="Y",0,IF(($E1&lt;T3),VLOOKUP($D2&amp;$C7,#REF!,T3-$E1+1,FALSE)*'resource-variables'!$C$2*$D7,0))</f>
        <v>#REF!</v>
      </c>
      <c r="U7" s="188" t="e">
        <f t="shared" si="1"/>
        <v>#REF!</v>
      </c>
      <c r="V7" s="200" t="e">
        <f t="shared" si="2"/>
        <v>#REF!</v>
      </c>
    </row>
    <row r="8" spans="1:22" ht="15.75" customHeight="1">
      <c r="A8" s="123" t="s">
        <v>256</v>
      </c>
      <c r="B8" s="123" t="s">
        <v>591</v>
      </c>
      <c r="C8" s="169" t="s">
        <v>592</v>
      </c>
      <c r="D8" s="170">
        <v>0.1</v>
      </c>
      <c r="E8" s="174" t="e">
        <f>IF($G1="Y",0,IF(($E1&lt;E3),VLOOKUP($D2&amp;$C8,#REF!,E3-$E1+1,FALSE)*'resource-variables'!$C$2*$D8,0))</f>
        <v>#REF!</v>
      </c>
      <c r="F8" s="174" t="e">
        <f>IF($G1="Y",0,IF(($E1&lt;F3),VLOOKUP($D2&amp;$C8,#REF!,F3-$E1+1,FALSE)*'resource-variables'!$C$2*$D8,0))</f>
        <v>#REF!</v>
      </c>
      <c r="G8" s="174" t="e">
        <f>IF($G1="Y",0,IF(($E1&lt;G3),VLOOKUP($D2&amp;$C8,#REF!,G3-$E1+1,FALSE)*'resource-variables'!$C$2*$D8,0))</f>
        <v>#REF!</v>
      </c>
      <c r="H8" s="174" t="e">
        <f>IF($G1="Y",0,IF(($E1&lt;H3),VLOOKUP($D2&amp;$C8,#REF!,H3-$E1+1,FALSE)*'resource-variables'!$C$2*$D8,0))</f>
        <v>#REF!</v>
      </c>
      <c r="I8" s="174" t="e">
        <f>IF($G1="Y",0,IF(($E1&lt;I3),VLOOKUP($D2&amp;$C8,#REF!,I3-$E1+1,FALSE)*'resource-variables'!$C$2*$D8,0))</f>
        <v>#REF!</v>
      </c>
      <c r="J8" s="174" t="e">
        <f>IF($G1="Y",0,IF(($E1&lt;J3),VLOOKUP($D2&amp;$C8,#REF!,J3-$E1+1,FALSE)*'resource-variables'!$C$2*$D8,0))</f>
        <v>#REF!</v>
      </c>
      <c r="K8" s="174" t="e">
        <f>IF($G1="Y",0,IF(($E1&lt;K3),VLOOKUP($D2&amp;$C8,#REF!,K3-$E1+1,FALSE)*'resource-variables'!$C$2*$D8,0))</f>
        <v>#REF!</v>
      </c>
      <c r="L8" s="174" t="e">
        <f>IF($G1="Y",0,IF(($E1&lt;L3),VLOOKUP($D2&amp;$C8,#REF!,L3-$E1+1,FALSE)*'resource-variables'!$C$2*$D8,0))</f>
        <v>#REF!</v>
      </c>
      <c r="M8" s="174" t="e">
        <f>IF($G1="Y",0,IF(($E1&lt;M3),VLOOKUP($D2&amp;$C8,#REF!,M3-$E1+1,FALSE)*'resource-variables'!$C$2*$D8,0))</f>
        <v>#REF!</v>
      </c>
      <c r="N8" s="174" t="e">
        <f>IF($G1="Y",0,IF(($E1&lt;N3),VLOOKUP($D2&amp;$C8,#REF!,N3-$E1+1,FALSE)*'resource-variables'!$C$2*$D8,0))</f>
        <v>#REF!</v>
      </c>
      <c r="O8" s="174" t="e">
        <f>IF($G1="Y",0,IF(($E1&lt;O3),VLOOKUP($D2&amp;$C8,#REF!,O3-$E1+1,FALSE)*'resource-variables'!$C$2*$D8,0))</f>
        <v>#REF!</v>
      </c>
      <c r="P8" s="174" t="e">
        <f>IF($G1="Y",0,IF(($E1&lt;P3),VLOOKUP($D2&amp;$C8,#REF!,P3-$E1+1,FALSE)*'resource-variables'!$C$2*$D8,0))</f>
        <v>#REF!</v>
      </c>
      <c r="Q8" s="174" t="e">
        <f>IF($G1="Y",0,IF(($E1&lt;Q3),VLOOKUP($D2&amp;$C8,#REF!,Q3-$E1+1,FALSE)*'resource-variables'!$C$2*$D8,0))</f>
        <v>#REF!</v>
      </c>
      <c r="R8" s="174" t="e">
        <f>IF($G1="Y",0,IF(($E1&lt;R3),VLOOKUP($D2&amp;$C8,#REF!,R3-$E1+1,FALSE)*'resource-variables'!$C$2*$D8,0))</f>
        <v>#REF!</v>
      </c>
      <c r="S8" s="174" t="e">
        <f>IF($G1="Y",0,IF(($E1&lt;S3),VLOOKUP($D2&amp;$C8,#REF!,S3-$E1+1,FALSE)*'resource-variables'!$C$2*$D8,0))</f>
        <v>#REF!</v>
      </c>
      <c r="T8" s="174" t="e">
        <f>IF($G1="Y",0,IF(($E1&lt;T3),VLOOKUP($D2&amp;$C8,#REF!,T3-$E1+1,FALSE)*'resource-variables'!$C$2*$D8,0))</f>
        <v>#REF!</v>
      </c>
      <c r="U8" s="188" t="e">
        <f t="shared" si="1"/>
        <v>#REF!</v>
      </c>
      <c r="V8" s="200" t="e">
        <f t="shared" si="2"/>
        <v>#REF!</v>
      </c>
    </row>
    <row r="9" spans="1:22" ht="15.75" customHeight="1">
      <c r="A9" s="123" t="s">
        <v>594</v>
      </c>
      <c r="B9" s="123" t="s">
        <v>596</v>
      </c>
      <c r="C9" s="169" t="s">
        <v>592</v>
      </c>
      <c r="D9" s="170">
        <v>0.1</v>
      </c>
      <c r="E9" s="174" t="e">
        <f>IF($G1="Y",0,IF(($E1&lt;E3),VLOOKUP($D2&amp;$C9,#REF!,E3-$E1+1,FALSE)*'resource-variables'!$C$2*$D9,0))</f>
        <v>#REF!</v>
      </c>
      <c r="F9" s="174" t="e">
        <f>IF($G1="Y",0,IF(($E1&lt;F3),VLOOKUP($D2&amp;$C9,#REF!,F3-$E1+1,FALSE)*'resource-variables'!$C$2*$D9,0))</f>
        <v>#REF!</v>
      </c>
      <c r="G9" s="174" t="e">
        <f>IF($G1="Y",0,IF(($E1&lt;G3),VLOOKUP($D2&amp;$C9,#REF!,G3-$E1+1,FALSE)*'resource-variables'!$C$2*$D9,0))</f>
        <v>#REF!</v>
      </c>
      <c r="H9" s="174" t="e">
        <f>IF($G1="Y",0,IF(($E1&lt;H3),VLOOKUP($D2&amp;$C9,#REF!,H3-$E1+1,FALSE)*'resource-variables'!$C$2*$D9,0))</f>
        <v>#REF!</v>
      </c>
      <c r="I9" s="174" t="e">
        <f>IF($G1="Y",0,IF(($E1&lt;I3),VLOOKUP($D2&amp;$C9,#REF!,I3-$E1+1,FALSE)*'resource-variables'!$C$2*$D9,0))</f>
        <v>#REF!</v>
      </c>
      <c r="J9" s="174" t="e">
        <f>IF($G1="Y",0,IF(($E1&lt;J3),VLOOKUP($D2&amp;$C9,#REF!,J3-$E1+1,FALSE)*'resource-variables'!$C$2*$D9,0))</f>
        <v>#REF!</v>
      </c>
      <c r="K9" s="174" t="e">
        <f>IF($G1="Y",0,IF(($E1&lt;K3),VLOOKUP($D2&amp;$C9,#REF!,K3-$E1+1,FALSE)*'resource-variables'!$C$2*$D9,0))</f>
        <v>#REF!</v>
      </c>
      <c r="L9" s="174" t="e">
        <f>IF($G1="Y",0,IF(($E1&lt;L3),VLOOKUP($D2&amp;$C9,#REF!,L3-$E1+1,FALSE)*'resource-variables'!$C$2*$D9,0))</f>
        <v>#REF!</v>
      </c>
      <c r="M9" s="174" t="e">
        <f>IF($G1="Y",0,IF(($E1&lt;M3),VLOOKUP($D2&amp;$C9,#REF!,M3-$E1+1,FALSE)*'resource-variables'!$C$2*$D9,0))</f>
        <v>#REF!</v>
      </c>
      <c r="N9" s="174" t="e">
        <f>IF($G1="Y",0,IF(($E1&lt;N3),VLOOKUP($D2&amp;$C9,#REF!,N3-$E1+1,FALSE)*'resource-variables'!$C$2*$D9,0))</f>
        <v>#REF!</v>
      </c>
      <c r="O9" s="174" t="e">
        <f>IF($G1="Y",0,IF(($E1&lt;O3),VLOOKUP($D2&amp;$C9,#REF!,O3-$E1+1,FALSE)*'resource-variables'!$C$2*$D9,0))</f>
        <v>#REF!</v>
      </c>
      <c r="P9" s="174" t="e">
        <f>IF($G1="Y",0,IF(($E1&lt;P3),VLOOKUP($D2&amp;$C9,#REF!,P3-$E1+1,FALSE)*'resource-variables'!$C$2*$D9,0))</f>
        <v>#REF!</v>
      </c>
      <c r="Q9" s="174" t="e">
        <f>IF($G1="Y",0,IF(($E1&lt;Q3),VLOOKUP($D2&amp;$C9,#REF!,Q3-$E1+1,FALSE)*'resource-variables'!$C$2*$D9,0))</f>
        <v>#REF!</v>
      </c>
      <c r="R9" s="174" t="e">
        <f>IF($G1="Y",0,IF(($E1&lt;R3),VLOOKUP($D2&amp;$C9,#REF!,R3-$E1+1,FALSE)*'resource-variables'!$C$2*$D9,0))</f>
        <v>#REF!</v>
      </c>
      <c r="S9" s="174" t="e">
        <f>IF($G1="Y",0,IF(($E1&lt;S3),VLOOKUP($D2&amp;$C9,#REF!,S3-$E1+1,FALSE)*'resource-variables'!$C$2*$D9,0))</f>
        <v>#REF!</v>
      </c>
      <c r="T9" s="174" t="e">
        <f>IF($G1="Y",0,IF(($E1&lt;T3),VLOOKUP($D2&amp;$C9,#REF!,T3-$E1+1,FALSE)*'resource-variables'!$C$2*$D9,0))</f>
        <v>#REF!</v>
      </c>
      <c r="U9" s="188" t="e">
        <f t="shared" si="1"/>
        <v>#REF!</v>
      </c>
      <c r="V9" s="200" t="e">
        <f t="shared" si="2"/>
        <v>#REF!</v>
      </c>
    </row>
    <row r="10" spans="1:22" ht="15" customHeight="1">
      <c r="A10" s="123" t="s">
        <v>527</v>
      </c>
      <c r="B10" s="123" t="s">
        <v>597</v>
      </c>
      <c r="C10" s="169" t="s">
        <v>590</v>
      </c>
      <c r="D10" s="170">
        <v>0.4</v>
      </c>
      <c r="E10" s="174" t="e">
        <f>IF($G1="Y",0,IF(($E1&lt;E3),VLOOKUP($D2&amp;$C10,#REF!,E3-$E1+1,FALSE)*'resource-variables'!$C$2*$D10,0))</f>
        <v>#REF!</v>
      </c>
      <c r="F10" s="174" t="e">
        <f>IF($G1="Y",0,IF(($E1&lt;F3),VLOOKUP($D2&amp;$C10,#REF!,F3-$E1+1,FALSE)*'resource-variables'!$C$2*$D10,0))</f>
        <v>#REF!</v>
      </c>
      <c r="G10" s="174" t="e">
        <f>IF($G1="Y",0,IF(($E1&lt;G3),VLOOKUP($D2&amp;$C10,#REF!,G3-$E1+1,FALSE)*'resource-variables'!$C$2*$D10,0))</f>
        <v>#REF!</v>
      </c>
      <c r="H10" s="174" t="e">
        <f>IF($G1="Y",0,IF(($E1&lt;H3),VLOOKUP($D2&amp;$C10,#REF!,H3-$E1+1,FALSE)*'resource-variables'!$C$2*$D10,0))</f>
        <v>#REF!</v>
      </c>
      <c r="I10" s="174" t="e">
        <f>IF($G1="Y",0,IF(($E1&lt;I3),VLOOKUP($D2&amp;$C10,#REF!,I3-$E1+1,FALSE)*'resource-variables'!$C$2*$D10,0))</f>
        <v>#REF!</v>
      </c>
      <c r="J10" s="174" t="e">
        <f>IF($G1="Y",0,IF(($E1&lt;J3),VLOOKUP($D2&amp;$C10,#REF!,J3-$E1+1,FALSE)*'resource-variables'!$C$2*$D10,0))</f>
        <v>#REF!</v>
      </c>
      <c r="K10" s="174" t="e">
        <f>IF($G1="Y",0,IF(($E1&lt;K3),VLOOKUP($D2&amp;$C10,#REF!,K3-$E1+1,FALSE)*'resource-variables'!$C$2*$D10,0))</f>
        <v>#REF!</v>
      </c>
      <c r="L10" s="174" t="e">
        <f>IF($G1="Y",0,IF(($E1&lt;L3),VLOOKUP($D2&amp;$C10,#REF!,L3-$E1+1,FALSE)*'resource-variables'!$C$2*$D10,0))</f>
        <v>#REF!</v>
      </c>
      <c r="M10" s="174" t="e">
        <f>IF($G1="Y",0,IF(($E1&lt;M3),VLOOKUP($D2&amp;$C10,#REF!,M3-$E1+1,FALSE)*'resource-variables'!$C$2*$D10,0))</f>
        <v>#REF!</v>
      </c>
      <c r="N10" s="174" t="e">
        <f>IF($G1="Y",0,IF(($E1&lt;N3),VLOOKUP($D2&amp;$C10,#REF!,N3-$E1+1,FALSE)*'resource-variables'!$C$2*$D10,0))</f>
        <v>#REF!</v>
      </c>
      <c r="O10" s="174" t="e">
        <f>IF($G1="Y",0,IF(($E1&lt;O3),VLOOKUP($D2&amp;$C10,#REF!,O3-$E1+1,FALSE)*'resource-variables'!$C$2*$D10,0))</f>
        <v>#REF!</v>
      </c>
      <c r="P10" s="174" t="e">
        <f>IF($G1="Y",0,IF(($E1&lt;P3),VLOOKUP($D2&amp;$C10,#REF!,P3-$E1+1,FALSE)*'resource-variables'!$C$2*$D10,0))</f>
        <v>#REF!</v>
      </c>
      <c r="Q10" s="174" t="e">
        <f>IF($G1="Y",0,IF(($E1&lt;Q3),VLOOKUP($D2&amp;$C10,#REF!,Q3-$E1+1,FALSE)*'resource-variables'!$C$2*$D10,0))</f>
        <v>#REF!</v>
      </c>
      <c r="R10" s="174" t="e">
        <f>IF($G1="Y",0,IF(($E1&lt;R3),VLOOKUP($D2&amp;$C10,#REF!,R3-$E1+1,FALSE)*'resource-variables'!$C$2*$D10,0))</f>
        <v>#REF!</v>
      </c>
      <c r="S10" s="174" t="e">
        <f>IF($G1="Y",0,IF(($E1&lt;S3),VLOOKUP($D2&amp;$C10,#REF!,S3-$E1+1,FALSE)*'resource-variables'!$C$2*$D10,0))</f>
        <v>#REF!</v>
      </c>
      <c r="T10" s="174" t="e">
        <f>IF($G1="Y",0,IF(($E1&lt;T3),VLOOKUP($D2&amp;$C10,#REF!,T3-$E1+1,FALSE)*'resource-variables'!$C$2*$D10,0))</f>
        <v>#REF!</v>
      </c>
      <c r="U10" s="188" t="e">
        <f t="shared" si="1"/>
        <v>#REF!</v>
      </c>
      <c r="V10" s="200" t="e">
        <f t="shared" si="2"/>
        <v>#REF!</v>
      </c>
    </row>
    <row r="11" spans="1:22" ht="15" customHeight="1">
      <c r="A11" s="269"/>
      <c r="B11" s="269"/>
      <c r="C11" s="269"/>
      <c r="D11" s="269"/>
      <c r="E11" s="269"/>
      <c r="F11" s="269"/>
      <c r="G11" s="269"/>
      <c r="H11" s="270"/>
      <c r="I11" s="270"/>
      <c r="J11" s="270"/>
      <c r="K11" s="270"/>
      <c r="L11" s="270"/>
      <c r="M11" s="270"/>
      <c r="N11" s="270"/>
      <c r="O11" s="270"/>
      <c r="P11" s="270"/>
      <c r="Q11" s="270"/>
      <c r="R11" s="270"/>
      <c r="S11" s="270"/>
      <c r="T11" s="270"/>
      <c r="U11" s="272"/>
      <c r="V11" s="272"/>
    </row>
    <row r="12" spans="1:22" ht="15" customHeight="1">
      <c r="A12" s="6" t="s">
        <v>168</v>
      </c>
      <c r="B12" s="42"/>
      <c r="C12" s="44"/>
      <c r="D12" s="75" t="s">
        <v>233</v>
      </c>
      <c r="E12" s="76">
        <v>0</v>
      </c>
      <c r="F12" s="34" t="s">
        <v>238</v>
      </c>
      <c r="G12" s="77" t="s">
        <v>239</v>
      </c>
      <c r="H12" s="79"/>
      <c r="I12" s="80"/>
      <c r="J12" s="80"/>
      <c r="K12" s="80"/>
      <c r="L12" s="80"/>
      <c r="M12" s="80"/>
      <c r="N12" s="80"/>
      <c r="O12" s="80"/>
      <c r="P12" s="80"/>
      <c r="Q12" s="80"/>
      <c r="R12" s="80"/>
      <c r="S12" s="80"/>
      <c r="T12" s="80"/>
      <c r="U12" s="80"/>
      <c r="V12" s="80"/>
    </row>
    <row r="13" spans="1:22" ht="15" customHeight="1">
      <c r="A13" s="81" t="s">
        <v>240</v>
      </c>
      <c r="B13" s="83">
        <v>7</v>
      </c>
      <c r="C13" s="85" t="e">
        <f>VLOOKUP(B13,#REF!,3)&amp;" size + Dur:"</f>
        <v>#REF!</v>
      </c>
      <c r="D13" s="114" t="e">
        <f>VLOOKUP(B13,#REF!,4)</f>
        <v>#REF!</v>
      </c>
      <c r="E13" s="116" t="s">
        <v>353</v>
      </c>
      <c r="F13" s="42"/>
      <c r="G13" s="42"/>
      <c r="H13" s="42"/>
      <c r="I13" s="42"/>
      <c r="J13" s="42"/>
      <c r="K13" s="42"/>
      <c r="L13" s="42"/>
      <c r="M13" s="42"/>
      <c r="N13" s="42"/>
      <c r="O13" s="42"/>
      <c r="P13" s="42"/>
      <c r="Q13" s="42"/>
      <c r="R13" s="42"/>
      <c r="S13" s="42"/>
      <c r="T13" s="42"/>
      <c r="U13" s="156"/>
      <c r="V13" s="158"/>
    </row>
    <row r="14" spans="1:22" ht="15" customHeight="1">
      <c r="A14" s="81" t="s">
        <v>10</v>
      </c>
      <c r="B14" s="81" t="s">
        <v>4</v>
      </c>
      <c r="C14" s="166" t="s">
        <v>555</v>
      </c>
      <c r="D14" s="166" t="s">
        <v>576</v>
      </c>
      <c r="E14" s="81">
        <v>1</v>
      </c>
      <c r="F14" s="168" t="str">
        <f aca="true" t="shared" si="3" ref="F14:T14">E14+1</f>
        <v>2</v>
      </c>
      <c r="G14" s="168" t="str">
        <f t="shared" si="3"/>
        <v>3</v>
      </c>
      <c r="H14" s="168" t="str">
        <f t="shared" si="3"/>
        <v>4</v>
      </c>
      <c r="I14" s="168" t="str">
        <f t="shared" si="3"/>
        <v>5</v>
      </c>
      <c r="J14" s="168" t="str">
        <f t="shared" si="3"/>
        <v>6</v>
      </c>
      <c r="K14" s="168" t="str">
        <f t="shared" si="3"/>
        <v>7</v>
      </c>
      <c r="L14" s="168" t="str">
        <f t="shared" si="3"/>
        <v>8</v>
      </c>
      <c r="M14" s="168" t="str">
        <f t="shared" si="3"/>
        <v>9</v>
      </c>
      <c r="N14" s="168" t="str">
        <f t="shared" si="3"/>
        <v>10</v>
      </c>
      <c r="O14" s="168" t="str">
        <f t="shared" si="3"/>
        <v>11</v>
      </c>
      <c r="P14" s="168" t="str">
        <f t="shared" si="3"/>
        <v>12</v>
      </c>
      <c r="Q14" s="168" t="str">
        <f t="shared" si="3"/>
        <v>13</v>
      </c>
      <c r="R14" s="168" t="str">
        <f t="shared" si="3"/>
        <v>14</v>
      </c>
      <c r="S14" s="168" t="str">
        <f t="shared" si="3"/>
        <v>15</v>
      </c>
      <c r="T14" s="168" t="str">
        <f t="shared" si="3"/>
        <v>16</v>
      </c>
      <c r="U14" s="166" t="s">
        <v>580</v>
      </c>
      <c r="V14" s="166" t="s">
        <v>581</v>
      </c>
    </row>
    <row r="15" spans="1:22" ht="15" customHeight="1">
      <c r="A15" s="123" t="s">
        <v>155</v>
      </c>
      <c r="B15" s="123" t="s">
        <v>578</v>
      </c>
      <c r="C15" s="169" t="s">
        <v>579</v>
      </c>
      <c r="D15" s="170">
        <v>0.25</v>
      </c>
      <c r="E15" s="174" t="e">
        <f>IF($G12="Y",0,IF(($E12&lt;E14),VLOOKUP($D13&amp;$C15,#REF!,E14-$E12+1,FALSE)*'resource-variables'!$C$2*$D15,0))</f>
        <v>#REF!</v>
      </c>
      <c r="F15" s="174" t="e">
        <f>IF($G12="Y",0,IF(($E12&lt;F14),VLOOKUP($D13&amp;$C15,#REF!,F14-$E12+1,FALSE)*'resource-variables'!$C$2*$D15,0))</f>
        <v>#REF!</v>
      </c>
      <c r="G15" s="174" t="e">
        <f>IF($G12="Y",0,IF(($E12&lt;G14),VLOOKUP($D13&amp;$C15,#REF!,G14-$E12+1,FALSE)*'resource-variables'!$C$2*$D15,0))</f>
        <v>#REF!</v>
      </c>
      <c r="H15" s="174" t="e">
        <f>IF($G12="Y",0,IF(($E12&lt;H14),VLOOKUP($D13&amp;$C15,#REF!,H14-$E12+1,FALSE)*'resource-variables'!$C$2*$D15,0))</f>
        <v>#REF!</v>
      </c>
      <c r="I15" s="174" t="e">
        <f>IF($G12="Y",0,IF(($E12&lt;I14),VLOOKUP($D13&amp;$C15,#REF!,I14-$E12+1,FALSE)*'resource-variables'!$C$2*$D15,0))</f>
        <v>#REF!</v>
      </c>
      <c r="J15" s="174" t="e">
        <f>IF($G12="Y",0,IF(($E12&lt;J14),VLOOKUP($D13&amp;$C15,#REF!,J14-$E12+1,FALSE)*'resource-variables'!$C$2*$D15,0))</f>
        <v>#REF!</v>
      </c>
      <c r="K15" s="174" t="e">
        <f>IF($G12="Y",0,IF(($E12&lt;K14),VLOOKUP($D13&amp;$C15,#REF!,K14-$E12+1,FALSE)*'resource-variables'!$C$2*$D15,0))</f>
        <v>#REF!</v>
      </c>
      <c r="L15" s="174" t="e">
        <f>IF($G12="Y",0,IF(($E12&lt;L14),VLOOKUP($D13&amp;$C15,#REF!,L14-$E12+1,FALSE)*'resource-variables'!$C$2*$D15,0))</f>
        <v>#REF!</v>
      </c>
      <c r="M15" s="174" t="e">
        <f>IF($G12="Y",0,IF(($E12&lt;M14),VLOOKUP($D13&amp;$C15,#REF!,M14-$E12+1,FALSE)*'resource-variables'!$C$2*$D15,0))</f>
        <v>#REF!</v>
      </c>
      <c r="N15" s="174" t="e">
        <f>IF($G12="Y",0,IF(($E12&lt;N14),VLOOKUP($D13&amp;$C15,#REF!,N14-$E12+1,FALSE)*'resource-variables'!$C$2*$D15,0))</f>
        <v>#REF!</v>
      </c>
      <c r="O15" s="174" t="e">
        <f>IF($G12="Y",0,IF(($E12&lt;O14),VLOOKUP($D13&amp;$C15,#REF!,O14-$E12+1,FALSE)*'resource-variables'!$C$2*$D15,0))</f>
        <v>#REF!</v>
      </c>
      <c r="P15" s="174" t="e">
        <f>IF($G12="Y",0,IF(($E12&lt;P14),VLOOKUP($D13&amp;$C15,#REF!,P14-$E12+1,FALSE)*'resource-variables'!$C$2*$D15,0))</f>
        <v>#REF!</v>
      </c>
      <c r="Q15" s="174" t="e">
        <f>IF($G12="Y",0,IF(($E12&lt;Q14),VLOOKUP($D13&amp;$C15,#REF!,Q14-$E12+1,FALSE)*'resource-variables'!$C$2*$D15,0))</f>
        <v>#REF!</v>
      </c>
      <c r="R15" s="174" t="e">
        <f>IF($G12="Y",0,IF(($E12&lt;R14),VLOOKUP($D13&amp;$C15,#REF!,R14-$E12+1,FALSE)*'resource-variables'!$C$2*$D15,0))</f>
        <v>#REF!</v>
      </c>
      <c r="S15" s="174" t="e">
        <f>IF($G12="Y",0,IF(($E12&lt;S14),VLOOKUP($D13&amp;$C15,#REF!,S14-$E12+1,FALSE)*'resource-variables'!$C$2*$D15,0))</f>
        <v>#REF!</v>
      </c>
      <c r="T15" s="174" t="e">
        <f>IF($G12="Y",0,IF(($E12&lt;T14),VLOOKUP($D13&amp;$C15,#REF!,T14-$E12+1,FALSE)*'resource-variables'!$C$2*$D15,0))</f>
        <v>#REF!</v>
      </c>
      <c r="U15" s="188" t="e">
        <f aca="true" t="shared" si="4" ref="U15:U21">SUM(E15:T15)</f>
        <v>#REF!</v>
      </c>
      <c r="V15" s="200" t="e">
        <f aca="true" t="shared" si="5" ref="V15:V21">U15*#REF!</f>
        <v>#REF!</v>
      </c>
    </row>
    <row r="16" spans="1:22" ht="15" customHeight="1">
      <c r="A16" s="123" t="s">
        <v>582</v>
      </c>
      <c r="B16" s="123" t="s">
        <v>583</v>
      </c>
      <c r="C16" s="169" t="s">
        <v>584</v>
      </c>
      <c r="D16" s="170">
        <v>0.25</v>
      </c>
      <c r="E16" s="174" t="e">
        <f>IF($G12="Y",0,IF(($E12&lt;E14),VLOOKUP($D13&amp;$C16,#REF!,E14-$E12+1,FALSE)*'resource-variables'!$C$2*$D16,0))</f>
        <v>#REF!</v>
      </c>
      <c r="F16" s="174" t="e">
        <f>IF($G12="Y",0,IF(($E12&lt;F14),VLOOKUP($D13&amp;$C16,#REF!,F14-$E12+1,FALSE)*'resource-variables'!$C$2*$D16,0))</f>
        <v>#REF!</v>
      </c>
      <c r="G16" s="174" t="e">
        <f>IF($G12="Y",0,IF(($E12&lt;G14),VLOOKUP($D13&amp;$C16,#REF!,G14-$E12+1,FALSE)*'resource-variables'!$C$2*$D16,0))</f>
        <v>#REF!</v>
      </c>
      <c r="H16" s="174" t="e">
        <f>IF($G12="Y",0,IF(($E12&lt;H14),VLOOKUP($D13&amp;$C16,#REF!,H14-$E12+1,FALSE)*'resource-variables'!$C$2*$D16,0))</f>
        <v>#REF!</v>
      </c>
      <c r="I16" s="174" t="e">
        <f>IF($G12="Y",0,IF(($E12&lt;I14),VLOOKUP($D13&amp;$C16,#REF!,I14-$E12+1,FALSE)*'resource-variables'!$C$2*$D16,0))</f>
        <v>#REF!</v>
      </c>
      <c r="J16" s="174" t="e">
        <f>IF($G12="Y",0,IF(($E12&lt;J14),VLOOKUP($D13&amp;$C16,#REF!,J14-$E12+1,FALSE)*'resource-variables'!$C$2*$D16,0))</f>
        <v>#REF!</v>
      </c>
      <c r="K16" s="174" t="e">
        <f>IF($G12="Y",0,IF(($E12&lt;K14),VLOOKUP($D13&amp;$C16,#REF!,K14-$E12+1,FALSE)*'resource-variables'!$C$2*$D16,0))</f>
        <v>#REF!</v>
      </c>
      <c r="L16" s="174" t="e">
        <f>IF($G12="Y",0,IF(($E12&lt;L14),VLOOKUP($D13&amp;$C16,#REF!,L14-$E12+1,FALSE)*'resource-variables'!$C$2*$D16,0))</f>
        <v>#REF!</v>
      </c>
      <c r="M16" s="174" t="e">
        <f>IF($G12="Y",0,IF(($E12&lt;M14),VLOOKUP($D13&amp;$C16,#REF!,M14-$E12+1,FALSE)*'resource-variables'!$C$2*$D16,0))</f>
        <v>#REF!</v>
      </c>
      <c r="N16" s="174" t="e">
        <f>IF($G12="Y",0,IF(($E12&lt;N14),VLOOKUP($D13&amp;$C16,#REF!,N14-$E12+1,FALSE)*'resource-variables'!$C$2*$D16,0))</f>
        <v>#REF!</v>
      </c>
      <c r="O16" s="174" t="e">
        <f>IF($G12="Y",0,IF(($E12&lt;O14),VLOOKUP($D13&amp;$C16,#REF!,O14-$E12+1,FALSE)*'resource-variables'!$C$2*$D16,0))</f>
        <v>#REF!</v>
      </c>
      <c r="P16" s="174" t="e">
        <f>IF($G12="Y",0,IF(($E12&lt;P14),VLOOKUP($D13&amp;$C16,#REF!,P14-$E12+1,FALSE)*'resource-variables'!$C$2*$D16,0))</f>
        <v>#REF!</v>
      </c>
      <c r="Q16" s="174" t="e">
        <f>IF($G12="Y",0,IF(($E12&lt;Q14),VLOOKUP($D13&amp;$C16,#REF!,Q14-$E12+1,FALSE)*'resource-variables'!$C$2*$D16,0))</f>
        <v>#REF!</v>
      </c>
      <c r="R16" s="174" t="e">
        <f>IF($G12="Y",0,IF(($E12&lt;R14),VLOOKUP($D13&amp;$C16,#REF!,R14-$E12+1,FALSE)*'resource-variables'!$C$2*$D16,0))</f>
        <v>#REF!</v>
      </c>
      <c r="S16" s="174" t="e">
        <f>IF($G12="Y",0,IF(($E12&lt;S14),VLOOKUP($D13&amp;$C16,#REF!,S14-$E12+1,FALSE)*'resource-variables'!$C$2*$D16,0))</f>
        <v>#REF!</v>
      </c>
      <c r="T16" s="174" t="e">
        <f>IF($G12="Y",0,IF(($E12&lt;T14),VLOOKUP($D13&amp;$C16,#REF!,T14-$E12+1,FALSE)*'resource-variables'!$C$2*$D16,0))</f>
        <v>#REF!</v>
      </c>
      <c r="U16" s="188" t="e">
        <f t="shared" si="4"/>
        <v>#REF!</v>
      </c>
      <c r="V16" s="200" t="e">
        <f t="shared" si="5"/>
        <v>#REF!</v>
      </c>
    </row>
    <row r="17" spans="1:22" ht="15" customHeight="1">
      <c r="A17" s="123" t="s">
        <v>585</v>
      </c>
      <c r="B17" s="123" t="s">
        <v>586</v>
      </c>
      <c r="C17" s="169" t="s">
        <v>584</v>
      </c>
      <c r="D17" s="170">
        <v>0.05</v>
      </c>
      <c r="E17" s="174" t="e">
        <f>IF($G12="Y",0,IF(($E12&lt;E14),VLOOKUP($D13&amp;$C17,#REF!,E14-$E12+1,FALSE)*'resource-variables'!$C$2*$D17,0))</f>
        <v>#REF!</v>
      </c>
      <c r="F17" s="174" t="e">
        <f>IF($G12="Y",0,IF(($E12&lt;F14),VLOOKUP($D13&amp;$C17,#REF!,F14-$E12+1,FALSE)*'resource-variables'!$C$2*$D17,0))</f>
        <v>#REF!</v>
      </c>
      <c r="G17" s="174" t="e">
        <f>IF($G12="Y",0,IF(($E12&lt;G14),VLOOKUP($D13&amp;$C17,#REF!,G14-$E12+1,FALSE)*'resource-variables'!$C$2*$D17,0))</f>
        <v>#REF!</v>
      </c>
      <c r="H17" s="174" t="e">
        <f>IF($G12="Y",0,IF(($E12&lt;H14),VLOOKUP($D13&amp;$C17,#REF!,H14-$E12+1,FALSE)*'resource-variables'!$C$2*$D17,0))</f>
        <v>#REF!</v>
      </c>
      <c r="I17" s="174" t="e">
        <f>IF($G12="Y",0,IF(($E12&lt;I14),VLOOKUP($D13&amp;$C17,#REF!,I14-$E12+1,FALSE)*'resource-variables'!$C$2*$D17,0))</f>
        <v>#REF!</v>
      </c>
      <c r="J17" s="174" t="e">
        <f>IF($G12="Y",0,IF(($E12&lt;J14),VLOOKUP($D13&amp;$C17,#REF!,J14-$E12+1,FALSE)*'resource-variables'!$C$2*$D17,0))</f>
        <v>#REF!</v>
      </c>
      <c r="K17" s="174" t="e">
        <f>IF($G12="Y",0,IF(($E12&lt;K14),VLOOKUP($D13&amp;$C17,#REF!,K14-$E12+1,FALSE)*'resource-variables'!$C$2*$D17,0))</f>
        <v>#REF!</v>
      </c>
      <c r="L17" s="174" t="e">
        <f>IF($G12="Y",0,IF(($E12&lt;L14),VLOOKUP($D13&amp;$C17,#REF!,L14-$E12+1,FALSE)*'resource-variables'!$C$2*$D17,0))</f>
        <v>#REF!</v>
      </c>
      <c r="M17" s="174" t="e">
        <f>IF($G12="Y",0,IF(($E12&lt;M14),VLOOKUP($D13&amp;$C17,#REF!,M14-$E12+1,FALSE)*'resource-variables'!$C$2*$D17,0))</f>
        <v>#REF!</v>
      </c>
      <c r="N17" s="174" t="e">
        <f>IF($G12="Y",0,IF(($E12&lt;N14),VLOOKUP($D13&amp;$C17,#REF!,N14-$E12+1,FALSE)*'resource-variables'!$C$2*$D17,0))</f>
        <v>#REF!</v>
      </c>
      <c r="O17" s="174" t="e">
        <f>IF($G12="Y",0,IF(($E12&lt;O14),VLOOKUP($D13&amp;$C17,#REF!,O14-$E12+1,FALSE)*'resource-variables'!$C$2*$D17,0))</f>
        <v>#REF!</v>
      </c>
      <c r="P17" s="174" t="e">
        <f>IF($G12="Y",0,IF(($E12&lt;P14),VLOOKUP($D13&amp;$C17,#REF!,P14-$E12+1,FALSE)*'resource-variables'!$C$2*$D17,0))</f>
        <v>#REF!</v>
      </c>
      <c r="Q17" s="174" t="e">
        <f>IF($G12="Y",0,IF(($E12&lt;Q14),VLOOKUP($D13&amp;$C17,#REF!,Q14-$E12+1,FALSE)*'resource-variables'!$C$2*$D17,0))</f>
        <v>#REF!</v>
      </c>
      <c r="R17" s="174" t="e">
        <f>IF($G12="Y",0,IF(($E12&lt;R14),VLOOKUP($D13&amp;$C17,#REF!,R14-$E12+1,FALSE)*'resource-variables'!$C$2*$D17,0))</f>
        <v>#REF!</v>
      </c>
      <c r="S17" s="174" t="e">
        <f>IF($G12="Y",0,IF(($E12&lt;S14),VLOOKUP($D13&amp;$C17,#REF!,S14-$E12+1,FALSE)*'resource-variables'!$C$2*$D17,0))</f>
        <v>#REF!</v>
      </c>
      <c r="T17" s="174" t="e">
        <f>IF($G12="Y",0,IF(($E12&lt;T14),VLOOKUP($D13&amp;$C17,#REF!,T14-$E12+1,FALSE)*'resource-variables'!$C$2*$D17,0))</f>
        <v>#REF!</v>
      </c>
      <c r="U17" s="188" t="e">
        <f t="shared" si="4"/>
        <v>#REF!</v>
      </c>
      <c r="V17" s="200" t="e">
        <f t="shared" si="5"/>
        <v>#REF!</v>
      </c>
    </row>
    <row r="18" spans="1:22" ht="15" customHeight="1">
      <c r="A18" s="123" t="s">
        <v>588</v>
      </c>
      <c r="B18" s="123" t="s">
        <v>589</v>
      </c>
      <c r="C18" s="169" t="s">
        <v>590</v>
      </c>
      <c r="D18" s="170">
        <v>0.05</v>
      </c>
      <c r="E18" s="174" t="e">
        <f>IF($G12="Y",0,IF(($E12&lt;E14),VLOOKUP($D13&amp;$C18,#REF!,E14-$E12+1,FALSE)*'resource-variables'!$C$2*$D18,0))</f>
        <v>#REF!</v>
      </c>
      <c r="F18" s="174" t="e">
        <f>IF($G12="Y",0,IF(($E12&lt;F14),VLOOKUP($D13&amp;$C18,#REF!,F14-$E12+1,FALSE)*'resource-variables'!$C$2*$D18,0))</f>
        <v>#REF!</v>
      </c>
      <c r="G18" s="174" t="e">
        <f>IF($G12="Y",0,IF(($E12&lt;G14),VLOOKUP($D13&amp;$C18,#REF!,G14-$E12+1,FALSE)*'resource-variables'!$C$2*$D18,0))</f>
        <v>#REF!</v>
      </c>
      <c r="H18" s="174" t="e">
        <f>IF($G12="Y",0,IF(($E12&lt;H14),VLOOKUP($D13&amp;$C18,#REF!,H14-$E12+1,FALSE)*'resource-variables'!$C$2*$D18,0))</f>
        <v>#REF!</v>
      </c>
      <c r="I18" s="174" t="e">
        <f>IF($G12="Y",0,IF(($E12&lt;I14),VLOOKUP($D13&amp;$C18,#REF!,I14-$E12+1,FALSE)*'resource-variables'!$C$2*$D18,0))</f>
        <v>#REF!</v>
      </c>
      <c r="J18" s="174" t="e">
        <f>IF($G12="Y",0,IF(($E12&lt;J14),VLOOKUP($D13&amp;$C18,#REF!,J14-$E12+1,FALSE)*'resource-variables'!$C$2*$D18,0))</f>
        <v>#REF!</v>
      </c>
      <c r="K18" s="174" t="e">
        <f>IF($G12="Y",0,IF(($E12&lt;K14),VLOOKUP($D13&amp;$C18,#REF!,K14-$E12+1,FALSE)*'resource-variables'!$C$2*$D18,0))</f>
        <v>#REF!</v>
      </c>
      <c r="L18" s="174" t="e">
        <f>IF($G12="Y",0,IF(($E12&lt;L14),VLOOKUP($D13&amp;$C18,#REF!,L14-$E12+1,FALSE)*'resource-variables'!$C$2*$D18,0))</f>
        <v>#REF!</v>
      </c>
      <c r="M18" s="174" t="e">
        <f>IF($G12="Y",0,IF(($E12&lt;M14),VLOOKUP($D13&amp;$C18,#REF!,M14-$E12+1,FALSE)*'resource-variables'!$C$2*$D18,0))</f>
        <v>#REF!</v>
      </c>
      <c r="N18" s="174" t="e">
        <f>IF($G12="Y",0,IF(($E12&lt;N14),VLOOKUP($D13&amp;$C18,#REF!,N14-$E12+1,FALSE)*'resource-variables'!$C$2*$D18,0))</f>
        <v>#REF!</v>
      </c>
      <c r="O18" s="174" t="e">
        <f>IF($G12="Y",0,IF(($E12&lt;O14),VLOOKUP($D13&amp;$C18,#REF!,O14-$E12+1,FALSE)*'resource-variables'!$C$2*$D18,0))</f>
        <v>#REF!</v>
      </c>
      <c r="P18" s="174" t="e">
        <f>IF($G12="Y",0,IF(($E12&lt;P14),VLOOKUP($D13&amp;$C18,#REF!,P14-$E12+1,FALSE)*'resource-variables'!$C$2*$D18,0))</f>
        <v>#REF!</v>
      </c>
      <c r="Q18" s="174" t="e">
        <f>IF($G12="Y",0,IF(($E12&lt;Q14),VLOOKUP($D13&amp;$C18,#REF!,Q14-$E12+1,FALSE)*'resource-variables'!$C$2*$D18,0))</f>
        <v>#REF!</v>
      </c>
      <c r="R18" s="174" t="e">
        <f>IF($G12="Y",0,IF(($E12&lt;R14),VLOOKUP($D13&amp;$C18,#REF!,R14-$E12+1,FALSE)*'resource-variables'!$C$2*$D18,0))</f>
        <v>#REF!</v>
      </c>
      <c r="S18" s="174" t="e">
        <f>IF($G12="Y",0,IF(($E12&lt;S14),VLOOKUP($D13&amp;$C18,#REF!,S14-$E12+1,FALSE)*'resource-variables'!$C$2*$D18,0))</f>
        <v>#REF!</v>
      </c>
      <c r="T18" s="174" t="e">
        <f>IF($G12="Y",0,IF(($E12&lt;T14),VLOOKUP($D13&amp;$C18,#REF!,T14-$E12+1,FALSE)*'resource-variables'!$C$2*$D18,0))</f>
        <v>#REF!</v>
      </c>
      <c r="U18" s="188" t="e">
        <f t="shared" si="4"/>
        <v>#REF!</v>
      </c>
      <c r="V18" s="200" t="e">
        <f t="shared" si="5"/>
        <v>#REF!</v>
      </c>
    </row>
    <row r="19" spans="1:22" ht="15" customHeight="1">
      <c r="A19" s="123" t="s">
        <v>256</v>
      </c>
      <c r="B19" s="123" t="s">
        <v>591</v>
      </c>
      <c r="C19" s="169" t="s">
        <v>592</v>
      </c>
      <c r="D19" s="170">
        <v>0.1</v>
      </c>
      <c r="E19" s="174" t="e">
        <f>IF($G12="Y",0,IF(($E12&lt;E14),VLOOKUP($D13&amp;$C19,#REF!,E14-$E12+1,FALSE)*'resource-variables'!$C$2*$D19,0))</f>
        <v>#REF!</v>
      </c>
      <c r="F19" s="174" t="e">
        <f>IF($G12="Y",0,IF(($E12&lt;F14),VLOOKUP($D13&amp;$C19,#REF!,F14-$E12+1,FALSE)*'resource-variables'!$C$2*$D19,0))</f>
        <v>#REF!</v>
      </c>
      <c r="G19" s="174" t="e">
        <f>IF($G12="Y",0,IF(($E12&lt;G14),VLOOKUP($D13&amp;$C19,#REF!,G14-$E12+1,FALSE)*'resource-variables'!$C$2*$D19,0))</f>
        <v>#REF!</v>
      </c>
      <c r="H19" s="174" t="e">
        <f>IF($G12="Y",0,IF(($E12&lt;H14),VLOOKUP($D13&amp;$C19,#REF!,H14-$E12+1,FALSE)*'resource-variables'!$C$2*$D19,0))</f>
        <v>#REF!</v>
      </c>
      <c r="I19" s="174" t="e">
        <f>IF($G12="Y",0,IF(($E12&lt;I14),VLOOKUP($D13&amp;$C19,#REF!,I14-$E12+1,FALSE)*'resource-variables'!$C$2*$D19,0))</f>
        <v>#REF!</v>
      </c>
      <c r="J19" s="174" t="e">
        <f>IF($G12="Y",0,IF(($E12&lt;J14),VLOOKUP($D13&amp;$C19,#REF!,J14-$E12+1,FALSE)*'resource-variables'!$C$2*$D19,0))</f>
        <v>#REF!</v>
      </c>
      <c r="K19" s="174" t="e">
        <f>IF($G12="Y",0,IF(($E12&lt;K14),VLOOKUP($D13&amp;$C19,#REF!,K14-$E12+1,FALSE)*'resource-variables'!$C$2*$D19,0))</f>
        <v>#REF!</v>
      </c>
      <c r="L19" s="174" t="e">
        <f>IF($G12="Y",0,IF(($E12&lt;L14),VLOOKUP($D13&amp;$C19,#REF!,L14-$E12+1,FALSE)*'resource-variables'!$C$2*$D19,0))</f>
        <v>#REF!</v>
      </c>
      <c r="M19" s="174" t="e">
        <f>IF($G12="Y",0,IF(($E12&lt;M14),VLOOKUP($D13&amp;$C19,#REF!,M14-$E12+1,FALSE)*'resource-variables'!$C$2*$D19,0))</f>
        <v>#REF!</v>
      </c>
      <c r="N19" s="174" t="e">
        <f>IF($G12="Y",0,IF(($E12&lt;N14),VLOOKUP($D13&amp;$C19,#REF!,N14-$E12+1,FALSE)*'resource-variables'!$C$2*$D19,0))</f>
        <v>#REF!</v>
      </c>
      <c r="O19" s="174" t="e">
        <f>IF($G12="Y",0,IF(($E12&lt;O14),VLOOKUP($D13&amp;$C19,#REF!,O14-$E12+1,FALSE)*'resource-variables'!$C$2*$D19,0))</f>
        <v>#REF!</v>
      </c>
      <c r="P19" s="174" t="e">
        <f>IF($G12="Y",0,IF(($E12&lt;P14),VLOOKUP($D13&amp;$C19,#REF!,P14-$E12+1,FALSE)*'resource-variables'!$C$2*$D19,0))</f>
        <v>#REF!</v>
      </c>
      <c r="Q19" s="174" t="e">
        <f>IF($G12="Y",0,IF(($E12&lt;Q14),VLOOKUP($D13&amp;$C19,#REF!,Q14-$E12+1,FALSE)*'resource-variables'!$C$2*$D19,0))</f>
        <v>#REF!</v>
      </c>
      <c r="R19" s="174" t="e">
        <f>IF($G12="Y",0,IF(($E12&lt;R14),VLOOKUP($D13&amp;$C19,#REF!,R14-$E12+1,FALSE)*'resource-variables'!$C$2*$D19,0))</f>
        <v>#REF!</v>
      </c>
      <c r="S19" s="174" t="e">
        <f>IF($G12="Y",0,IF(($E12&lt;S14),VLOOKUP($D13&amp;$C19,#REF!,S14-$E12+1,FALSE)*'resource-variables'!$C$2*$D19,0))</f>
        <v>#REF!</v>
      </c>
      <c r="T19" s="174" t="e">
        <f>IF($G12="Y",0,IF(($E12&lt;T14),VLOOKUP($D13&amp;$C19,#REF!,T14-$E12+1,FALSE)*'resource-variables'!$C$2*$D19,0))</f>
        <v>#REF!</v>
      </c>
      <c r="U19" s="188" t="e">
        <f t="shared" si="4"/>
        <v>#REF!</v>
      </c>
      <c r="V19" s="200" t="e">
        <f t="shared" si="5"/>
        <v>#REF!</v>
      </c>
    </row>
    <row r="20" spans="1:22" ht="15" customHeight="1">
      <c r="A20" s="123" t="s">
        <v>594</v>
      </c>
      <c r="B20" s="123" t="s">
        <v>596</v>
      </c>
      <c r="C20" s="169" t="s">
        <v>592</v>
      </c>
      <c r="D20" s="170">
        <v>0.1</v>
      </c>
      <c r="E20" s="174" t="e">
        <f>IF($G12="Y",0,IF(($E12&lt;E14),VLOOKUP($D13&amp;$C20,#REF!,E14-$E12+1,FALSE)*'resource-variables'!$C$2*$D20,0))</f>
        <v>#REF!</v>
      </c>
      <c r="F20" s="174" t="e">
        <f>IF($G12="Y",0,IF(($E12&lt;F14),VLOOKUP($D13&amp;$C20,#REF!,F14-$E12+1,FALSE)*'resource-variables'!$C$2*$D20,0))</f>
        <v>#REF!</v>
      </c>
      <c r="G20" s="174" t="e">
        <f>IF($G12="Y",0,IF(($E12&lt;G14),VLOOKUP($D13&amp;$C20,#REF!,G14-$E12+1,FALSE)*'resource-variables'!$C$2*$D20,0))</f>
        <v>#REF!</v>
      </c>
      <c r="H20" s="174" t="e">
        <f>IF($G12="Y",0,IF(($E12&lt;H14),VLOOKUP($D13&amp;$C20,#REF!,H14-$E12+1,FALSE)*'resource-variables'!$C$2*$D20,0))</f>
        <v>#REF!</v>
      </c>
      <c r="I20" s="174" t="e">
        <f>IF($G12="Y",0,IF(($E12&lt;I14),VLOOKUP($D13&amp;$C20,#REF!,I14-$E12+1,FALSE)*'resource-variables'!$C$2*$D20,0))</f>
        <v>#REF!</v>
      </c>
      <c r="J20" s="174" t="e">
        <f>IF($G12="Y",0,IF(($E12&lt;J14),VLOOKUP($D13&amp;$C20,#REF!,J14-$E12+1,FALSE)*'resource-variables'!$C$2*$D20,0))</f>
        <v>#REF!</v>
      </c>
      <c r="K20" s="174" t="e">
        <f>IF($G12="Y",0,IF(($E12&lt;K14),VLOOKUP($D13&amp;$C20,#REF!,K14-$E12+1,FALSE)*'resource-variables'!$C$2*$D20,0))</f>
        <v>#REF!</v>
      </c>
      <c r="L20" s="174" t="e">
        <f>IF($G12="Y",0,IF(($E12&lt;L14),VLOOKUP($D13&amp;$C20,#REF!,L14-$E12+1,FALSE)*'resource-variables'!$C$2*$D20,0))</f>
        <v>#REF!</v>
      </c>
      <c r="M20" s="174" t="e">
        <f>IF($G12="Y",0,IF(($E12&lt;M14),VLOOKUP($D13&amp;$C20,#REF!,M14-$E12+1,FALSE)*'resource-variables'!$C$2*$D20,0))</f>
        <v>#REF!</v>
      </c>
      <c r="N20" s="174" t="e">
        <f>IF($G12="Y",0,IF(($E12&lt;N14),VLOOKUP($D13&amp;$C20,#REF!,N14-$E12+1,FALSE)*'resource-variables'!$C$2*$D20,0))</f>
        <v>#REF!</v>
      </c>
      <c r="O20" s="174" t="e">
        <f>IF($G12="Y",0,IF(($E12&lt;O14),VLOOKUP($D13&amp;$C20,#REF!,O14-$E12+1,FALSE)*'resource-variables'!$C$2*$D20,0))</f>
        <v>#REF!</v>
      </c>
      <c r="P20" s="174" t="e">
        <f>IF($G12="Y",0,IF(($E12&lt;P14),VLOOKUP($D13&amp;$C20,#REF!,P14-$E12+1,FALSE)*'resource-variables'!$C$2*$D20,0))</f>
        <v>#REF!</v>
      </c>
      <c r="Q20" s="174" t="e">
        <f>IF($G12="Y",0,IF(($E12&lt;Q14),VLOOKUP($D13&amp;$C20,#REF!,Q14-$E12+1,FALSE)*'resource-variables'!$C$2*$D20,0))</f>
        <v>#REF!</v>
      </c>
      <c r="R20" s="174" t="e">
        <f>IF($G12="Y",0,IF(($E12&lt;R14),VLOOKUP($D13&amp;$C20,#REF!,R14-$E12+1,FALSE)*'resource-variables'!$C$2*$D20,0))</f>
        <v>#REF!</v>
      </c>
      <c r="S20" s="174" t="e">
        <f>IF($G12="Y",0,IF(($E12&lt;S14),VLOOKUP($D13&amp;$C20,#REF!,S14-$E12+1,FALSE)*'resource-variables'!$C$2*$D20,0))</f>
        <v>#REF!</v>
      </c>
      <c r="T20" s="174" t="e">
        <f>IF($G12="Y",0,IF(($E12&lt;T14),VLOOKUP($D13&amp;$C20,#REF!,T14-$E12+1,FALSE)*'resource-variables'!$C$2*$D20,0))</f>
        <v>#REF!</v>
      </c>
      <c r="U20" s="188" t="e">
        <f t="shared" si="4"/>
        <v>#REF!</v>
      </c>
      <c r="V20" s="200" t="e">
        <f t="shared" si="5"/>
        <v>#REF!</v>
      </c>
    </row>
    <row r="21" spans="1:22" ht="15" customHeight="1">
      <c r="A21" s="123" t="s">
        <v>527</v>
      </c>
      <c r="B21" s="123" t="s">
        <v>597</v>
      </c>
      <c r="C21" s="169" t="s">
        <v>590</v>
      </c>
      <c r="D21" s="170">
        <v>0.4</v>
      </c>
      <c r="E21" s="174" t="e">
        <f>IF($G12="Y",0,IF(($E12&lt;E14),VLOOKUP($D13&amp;$C21,#REF!,E14-$E12+1,FALSE)*'resource-variables'!$C$2*$D21,0))</f>
        <v>#REF!</v>
      </c>
      <c r="F21" s="174" t="e">
        <f>IF($G12="Y",0,IF(($E12&lt;F14),VLOOKUP($D13&amp;$C21,#REF!,F14-$E12+1,FALSE)*'resource-variables'!$C$2*$D21,0))</f>
        <v>#REF!</v>
      </c>
      <c r="G21" s="174" t="e">
        <f>IF($G12="Y",0,IF(($E12&lt;G14),VLOOKUP($D13&amp;$C21,#REF!,G14-$E12+1,FALSE)*'resource-variables'!$C$2*$D21,0))</f>
        <v>#REF!</v>
      </c>
      <c r="H21" s="174" t="e">
        <f>IF($G12="Y",0,IF(($E12&lt;H14),VLOOKUP($D13&amp;$C21,#REF!,H14-$E12+1,FALSE)*'resource-variables'!$C$2*$D21,0))</f>
        <v>#REF!</v>
      </c>
      <c r="I21" s="174" t="e">
        <f>IF($G12="Y",0,IF(($E12&lt;I14),VLOOKUP($D13&amp;$C21,#REF!,I14-$E12+1,FALSE)*'resource-variables'!$C$2*$D21,0))</f>
        <v>#REF!</v>
      </c>
      <c r="J21" s="174" t="e">
        <f>IF($G12="Y",0,IF(($E12&lt;J14),VLOOKUP($D13&amp;$C21,#REF!,J14-$E12+1,FALSE)*'resource-variables'!$C$2*$D21,0))</f>
        <v>#REF!</v>
      </c>
      <c r="K21" s="174" t="e">
        <f>IF($G12="Y",0,IF(($E12&lt;K14),VLOOKUP($D13&amp;$C21,#REF!,K14-$E12+1,FALSE)*'resource-variables'!$C$2*$D21,0))</f>
        <v>#REF!</v>
      </c>
      <c r="L21" s="174" t="e">
        <f>IF($G12="Y",0,IF(($E12&lt;L14),VLOOKUP($D13&amp;$C21,#REF!,L14-$E12+1,FALSE)*'resource-variables'!$C$2*$D21,0))</f>
        <v>#REF!</v>
      </c>
      <c r="M21" s="174" t="e">
        <f>IF($G12="Y",0,IF(($E12&lt;M14),VLOOKUP($D13&amp;$C21,#REF!,M14-$E12+1,FALSE)*'resource-variables'!$C$2*$D21,0))</f>
        <v>#REF!</v>
      </c>
      <c r="N21" s="174" t="e">
        <f>IF($G12="Y",0,IF(($E12&lt;N14),VLOOKUP($D13&amp;$C21,#REF!,N14-$E12+1,FALSE)*'resource-variables'!$C$2*$D21,0))</f>
        <v>#REF!</v>
      </c>
      <c r="O21" s="174" t="e">
        <f>IF($G12="Y",0,IF(($E12&lt;O14),VLOOKUP($D13&amp;$C21,#REF!,O14-$E12+1,FALSE)*'resource-variables'!$C$2*$D21,0))</f>
        <v>#REF!</v>
      </c>
      <c r="P21" s="174" t="e">
        <f>IF($G12="Y",0,IF(($E12&lt;P14),VLOOKUP($D13&amp;$C21,#REF!,P14-$E12+1,FALSE)*'resource-variables'!$C$2*$D21,0))</f>
        <v>#REF!</v>
      </c>
      <c r="Q21" s="174" t="e">
        <f>IF($G12="Y",0,IF(($E12&lt;Q14),VLOOKUP($D13&amp;$C21,#REF!,Q14-$E12+1,FALSE)*'resource-variables'!$C$2*$D21,0))</f>
        <v>#REF!</v>
      </c>
      <c r="R21" s="174" t="e">
        <f>IF($G12="Y",0,IF(($E12&lt;R14),VLOOKUP($D13&amp;$C21,#REF!,R14-$E12+1,FALSE)*'resource-variables'!$C$2*$D21,0))</f>
        <v>#REF!</v>
      </c>
      <c r="S21" s="174" t="e">
        <f>IF($G12="Y",0,IF(($E12&lt;S14),VLOOKUP($D13&amp;$C21,#REF!,S14-$E12+1,FALSE)*'resource-variables'!$C$2*$D21,0))</f>
        <v>#REF!</v>
      </c>
      <c r="T21" s="174" t="e">
        <f>IF($G12="Y",0,IF(($E12&lt;T14),VLOOKUP($D13&amp;$C21,#REF!,T14-$E12+1,FALSE)*'resource-variables'!$C$2*$D21,0))</f>
        <v>#REF!</v>
      </c>
      <c r="U21" s="188" t="e">
        <f t="shared" si="4"/>
        <v>#REF!</v>
      </c>
      <c r="V21" s="200" t="e">
        <f t="shared" si="5"/>
        <v>#REF!</v>
      </c>
    </row>
    <row r="22" spans="1:22" ht="15" customHeight="1">
      <c r="A22" s="269"/>
      <c r="B22" s="269"/>
      <c r="C22" s="269"/>
      <c r="D22" s="269"/>
      <c r="E22" s="269"/>
      <c r="F22" s="269"/>
      <c r="G22" s="269"/>
      <c r="H22" s="270"/>
      <c r="I22" s="270"/>
      <c r="J22" s="270"/>
      <c r="K22" s="270"/>
      <c r="L22" s="270"/>
      <c r="M22" s="270"/>
      <c r="N22" s="270"/>
      <c r="O22" s="270"/>
      <c r="P22" s="270"/>
      <c r="Q22" s="270"/>
      <c r="R22" s="270"/>
      <c r="S22" s="270"/>
      <c r="T22" s="270"/>
      <c r="U22" s="272"/>
      <c r="V22" s="272"/>
    </row>
    <row r="23" spans="1:22" ht="15" customHeight="1">
      <c r="A23" s="6" t="s">
        <v>150</v>
      </c>
      <c r="B23" s="42"/>
      <c r="C23" s="44"/>
      <c r="D23" s="75" t="s">
        <v>233</v>
      </c>
      <c r="E23" s="76">
        <v>0</v>
      </c>
      <c r="F23" s="34" t="s">
        <v>238</v>
      </c>
      <c r="G23" s="77" t="s">
        <v>239</v>
      </c>
      <c r="H23" s="79"/>
      <c r="I23" s="80"/>
      <c r="J23" s="80"/>
      <c r="K23" s="80"/>
      <c r="L23" s="80"/>
      <c r="M23" s="80"/>
      <c r="N23" s="80"/>
      <c r="O23" s="80"/>
      <c r="P23" s="80"/>
      <c r="Q23" s="80"/>
      <c r="R23" s="80"/>
      <c r="S23" s="80"/>
      <c r="T23" s="80"/>
      <c r="U23" s="80"/>
      <c r="V23" s="80"/>
    </row>
    <row r="24" spans="1:22" ht="15" customHeight="1">
      <c r="A24" s="81" t="s">
        <v>240</v>
      </c>
      <c r="B24" s="83">
        <v>7</v>
      </c>
      <c r="C24" s="85" t="e">
        <f>VLOOKUP(B24,#REF!,3)&amp;" size + Dur:"</f>
        <v>#REF!</v>
      </c>
      <c r="D24" s="114" t="e">
        <f>VLOOKUP(B24,#REF!,4)</f>
        <v>#REF!</v>
      </c>
      <c r="E24" s="116" t="s">
        <v>353</v>
      </c>
      <c r="F24" s="42"/>
      <c r="G24" s="42"/>
      <c r="H24" s="42"/>
      <c r="I24" s="42"/>
      <c r="J24" s="42"/>
      <c r="K24" s="42"/>
      <c r="L24" s="42"/>
      <c r="M24" s="42"/>
      <c r="N24" s="42"/>
      <c r="O24" s="42"/>
      <c r="P24" s="42"/>
      <c r="Q24" s="42"/>
      <c r="R24" s="42"/>
      <c r="S24" s="42"/>
      <c r="T24" s="42"/>
      <c r="U24" s="156"/>
      <c r="V24" s="158"/>
    </row>
    <row r="25" spans="1:22" ht="15" customHeight="1">
      <c r="A25" s="81" t="s">
        <v>10</v>
      </c>
      <c r="B25" s="81" t="s">
        <v>4</v>
      </c>
      <c r="C25" s="166" t="s">
        <v>555</v>
      </c>
      <c r="D25" s="166" t="s">
        <v>576</v>
      </c>
      <c r="E25" s="81">
        <v>1</v>
      </c>
      <c r="F25" s="168" t="str">
        <f aca="true" t="shared" si="6" ref="F25:T25">E25+1</f>
        <v>2</v>
      </c>
      <c r="G25" s="168" t="str">
        <f t="shared" si="6"/>
        <v>3</v>
      </c>
      <c r="H25" s="168" t="str">
        <f t="shared" si="6"/>
        <v>4</v>
      </c>
      <c r="I25" s="168" t="str">
        <f t="shared" si="6"/>
        <v>5</v>
      </c>
      <c r="J25" s="168" t="str">
        <f t="shared" si="6"/>
        <v>6</v>
      </c>
      <c r="K25" s="168" t="str">
        <f t="shared" si="6"/>
        <v>7</v>
      </c>
      <c r="L25" s="168" t="str">
        <f t="shared" si="6"/>
        <v>8</v>
      </c>
      <c r="M25" s="168" t="str">
        <f t="shared" si="6"/>
        <v>9</v>
      </c>
      <c r="N25" s="168" t="str">
        <f t="shared" si="6"/>
        <v>10</v>
      </c>
      <c r="O25" s="168" t="str">
        <f t="shared" si="6"/>
        <v>11</v>
      </c>
      <c r="P25" s="168" t="str">
        <f t="shared" si="6"/>
        <v>12</v>
      </c>
      <c r="Q25" s="168" t="str">
        <f t="shared" si="6"/>
        <v>13</v>
      </c>
      <c r="R25" s="168" t="str">
        <f t="shared" si="6"/>
        <v>14</v>
      </c>
      <c r="S25" s="168" t="str">
        <f t="shared" si="6"/>
        <v>15</v>
      </c>
      <c r="T25" s="168" t="str">
        <f t="shared" si="6"/>
        <v>16</v>
      </c>
      <c r="U25" s="166" t="s">
        <v>580</v>
      </c>
      <c r="V25" s="166" t="s">
        <v>581</v>
      </c>
    </row>
    <row r="26" spans="1:22" ht="15" customHeight="1">
      <c r="A26" s="123" t="s">
        <v>155</v>
      </c>
      <c r="B26" s="123" t="s">
        <v>578</v>
      </c>
      <c r="C26" s="169" t="s">
        <v>579</v>
      </c>
      <c r="D26" s="170">
        <v>0.25</v>
      </c>
      <c r="E26" s="174" t="e">
        <f>IF($G23="Y",0,IF(($E23&lt;E25),VLOOKUP($D24&amp;$C26,#REF!,E25-$E23+1,FALSE)*'resource-variables'!$C$2*$D26,0))</f>
        <v>#REF!</v>
      </c>
      <c r="F26" s="174" t="e">
        <f>IF($G23="Y",0,IF(($E23&lt;F25),VLOOKUP($D24&amp;$C26,#REF!,F25-$E23+1,FALSE)*'resource-variables'!$C$2*$D26,0))</f>
        <v>#REF!</v>
      </c>
      <c r="G26" s="174" t="e">
        <f>IF($G23="Y",0,IF(($E23&lt;G25),VLOOKUP($D24&amp;$C26,#REF!,G25-$E23+1,FALSE)*'resource-variables'!$C$2*$D26,0))</f>
        <v>#REF!</v>
      </c>
      <c r="H26" s="174" t="e">
        <f>IF($G23="Y",0,IF(($E23&lt;H25),VLOOKUP($D24&amp;$C26,#REF!,H25-$E23+1,FALSE)*'resource-variables'!$C$2*$D26,0))</f>
        <v>#REF!</v>
      </c>
      <c r="I26" s="174" t="e">
        <f>IF($G23="Y",0,IF(($E23&lt;I25),VLOOKUP($D24&amp;$C26,#REF!,I25-$E23+1,FALSE)*'resource-variables'!$C$2*$D26,0))</f>
        <v>#REF!</v>
      </c>
      <c r="J26" s="174" t="e">
        <f>IF($G23="Y",0,IF(($E23&lt;J25),VLOOKUP($D24&amp;$C26,#REF!,J25-$E23+1,FALSE)*'resource-variables'!$C$2*$D26,0))</f>
        <v>#REF!</v>
      </c>
      <c r="K26" s="174" t="e">
        <f>IF($G23="Y",0,IF(($E23&lt;K25),VLOOKUP($D24&amp;$C26,#REF!,K25-$E23+1,FALSE)*'resource-variables'!$C$2*$D26,0))</f>
        <v>#REF!</v>
      </c>
      <c r="L26" s="174" t="e">
        <f>IF($G23="Y",0,IF(($E23&lt;L25),VLOOKUP($D24&amp;$C26,#REF!,L25-$E23+1,FALSE)*'resource-variables'!$C$2*$D26,0))</f>
        <v>#REF!</v>
      </c>
      <c r="M26" s="174" t="e">
        <f>IF($G23="Y",0,IF(($E23&lt;M25),VLOOKUP($D24&amp;$C26,#REF!,M25-$E23+1,FALSE)*'resource-variables'!$C$2*$D26,0))</f>
        <v>#REF!</v>
      </c>
      <c r="N26" s="174" t="e">
        <f>IF($G23="Y",0,IF(($E23&lt;N25),VLOOKUP($D24&amp;$C26,#REF!,N25-$E23+1,FALSE)*'resource-variables'!$C$2*$D26,0))</f>
        <v>#REF!</v>
      </c>
      <c r="O26" s="174" t="e">
        <f>IF($G23="Y",0,IF(($E23&lt;O25),VLOOKUP($D24&amp;$C26,#REF!,O25-$E23+1,FALSE)*'resource-variables'!$C$2*$D26,0))</f>
        <v>#REF!</v>
      </c>
      <c r="P26" s="174" t="e">
        <f>IF($G23="Y",0,IF(($E23&lt;P25),VLOOKUP($D24&amp;$C26,#REF!,P25-$E23+1,FALSE)*'resource-variables'!$C$2*$D26,0))</f>
        <v>#REF!</v>
      </c>
      <c r="Q26" s="174" t="e">
        <f>IF($G23="Y",0,IF(($E23&lt;Q25),VLOOKUP($D24&amp;$C26,#REF!,Q25-$E23+1,FALSE)*'resource-variables'!$C$2*$D26,0))</f>
        <v>#REF!</v>
      </c>
      <c r="R26" s="174" t="e">
        <f>IF($G23="Y",0,IF(($E23&lt;R25),VLOOKUP($D24&amp;$C26,#REF!,R25-$E23+1,FALSE)*'resource-variables'!$C$2*$D26,0))</f>
        <v>#REF!</v>
      </c>
      <c r="S26" s="174" t="e">
        <f>IF($G23="Y",0,IF(($E23&lt;S25),VLOOKUP($D24&amp;$C26,#REF!,S25-$E23+1,FALSE)*'resource-variables'!$C$2*$D26,0))</f>
        <v>#REF!</v>
      </c>
      <c r="T26" s="174" t="e">
        <f>IF($G23="Y",0,IF(($E23&lt;T25),VLOOKUP($D24&amp;$C26,#REF!,T25-$E23+1,FALSE)*'resource-variables'!$C$2*$D26,0))</f>
        <v>#REF!</v>
      </c>
      <c r="U26" s="188" t="e">
        <f aca="true" t="shared" si="7" ref="U26:U32">SUM(E26:T26)</f>
        <v>#REF!</v>
      </c>
      <c r="V26" s="200" t="e">
        <f aca="true" t="shared" si="8" ref="V26:V32">U26*#REF!</f>
        <v>#REF!</v>
      </c>
    </row>
    <row r="27" spans="1:22" ht="15" customHeight="1">
      <c r="A27" s="123" t="s">
        <v>582</v>
      </c>
      <c r="B27" s="123" t="s">
        <v>583</v>
      </c>
      <c r="C27" s="169" t="s">
        <v>584</v>
      </c>
      <c r="D27" s="170">
        <v>0.25</v>
      </c>
      <c r="E27" s="174" t="e">
        <f>IF($G23="Y",0,IF(($E23&lt;E25),VLOOKUP($D24&amp;$C27,#REF!,E25-$E23+1,FALSE)*'resource-variables'!$C$2*$D27,0))</f>
        <v>#REF!</v>
      </c>
      <c r="F27" s="174" t="e">
        <f>IF($G23="Y",0,IF(($E23&lt;F25),VLOOKUP($D24&amp;$C27,#REF!,F25-$E23+1,FALSE)*'resource-variables'!$C$2*$D27,0))</f>
        <v>#REF!</v>
      </c>
      <c r="G27" s="174" t="e">
        <f>IF($G23="Y",0,IF(($E23&lt;G25),VLOOKUP($D24&amp;$C27,#REF!,G25-$E23+1,FALSE)*'resource-variables'!$C$2*$D27,0))</f>
        <v>#REF!</v>
      </c>
      <c r="H27" s="174" t="e">
        <f>IF($G23="Y",0,IF(($E23&lt;H25),VLOOKUP($D24&amp;$C27,#REF!,H25-$E23+1,FALSE)*'resource-variables'!$C$2*$D27,0))</f>
        <v>#REF!</v>
      </c>
      <c r="I27" s="174" t="e">
        <f>IF($G23="Y",0,IF(($E23&lt;I25),VLOOKUP($D24&amp;$C27,#REF!,I25-$E23+1,FALSE)*'resource-variables'!$C$2*$D27,0))</f>
        <v>#REF!</v>
      </c>
      <c r="J27" s="174" t="e">
        <f>IF($G23="Y",0,IF(($E23&lt;J25),VLOOKUP($D24&amp;$C27,#REF!,J25-$E23+1,FALSE)*'resource-variables'!$C$2*$D27,0))</f>
        <v>#REF!</v>
      </c>
      <c r="K27" s="174" t="e">
        <f>IF($G23="Y",0,IF(($E23&lt;K25),VLOOKUP($D24&amp;$C27,#REF!,K25-$E23+1,FALSE)*'resource-variables'!$C$2*$D27,0))</f>
        <v>#REF!</v>
      </c>
      <c r="L27" s="174" t="e">
        <f>IF($G23="Y",0,IF(($E23&lt;L25),VLOOKUP($D24&amp;$C27,#REF!,L25-$E23+1,FALSE)*'resource-variables'!$C$2*$D27,0))</f>
        <v>#REF!</v>
      </c>
      <c r="M27" s="174" t="e">
        <f>IF($G23="Y",0,IF(($E23&lt;M25),VLOOKUP($D24&amp;$C27,#REF!,M25-$E23+1,FALSE)*'resource-variables'!$C$2*$D27,0))</f>
        <v>#REF!</v>
      </c>
      <c r="N27" s="174" t="e">
        <f>IF($G23="Y",0,IF(($E23&lt;N25),VLOOKUP($D24&amp;$C27,#REF!,N25-$E23+1,FALSE)*'resource-variables'!$C$2*$D27,0))</f>
        <v>#REF!</v>
      </c>
      <c r="O27" s="174" t="e">
        <f>IF($G23="Y",0,IF(($E23&lt;O25),VLOOKUP($D24&amp;$C27,#REF!,O25-$E23+1,FALSE)*'resource-variables'!$C$2*$D27,0))</f>
        <v>#REF!</v>
      </c>
      <c r="P27" s="174" t="e">
        <f>IF($G23="Y",0,IF(($E23&lt;P25),VLOOKUP($D24&amp;$C27,#REF!,P25-$E23+1,FALSE)*'resource-variables'!$C$2*$D27,0))</f>
        <v>#REF!</v>
      </c>
      <c r="Q27" s="174" t="e">
        <f>IF($G23="Y",0,IF(($E23&lt;Q25),VLOOKUP($D24&amp;$C27,#REF!,Q25-$E23+1,FALSE)*'resource-variables'!$C$2*$D27,0))</f>
        <v>#REF!</v>
      </c>
      <c r="R27" s="174" t="e">
        <f>IF($G23="Y",0,IF(($E23&lt;R25),VLOOKUP($D24&amp;$C27,#REF!,R25-$E23+1,FALSE)*'resource-variables'!$C$2*$D27,0))</f>
        <v>#REF!</v>
      </c>
      <c r="S27" s="174" t="e">
        <f>IF($G23="Y",0,IF(($E23&lt;S25),VLOOKUP($D24&amp;$C27,#REF!,S25-$E23+1,FALSE)*'resource-variables'!$C$2*$D27,0))</f>
        <v>#REF!</v>
      </c>
      <c r="T27" s="174" t="e">
        <f>IF($G23="Y",0,IF(($E23&lt;T25),VLOOKUP($D24&amp;$C27,#REF!,T25-$E23+1,FALSE)*'resource-variables'!$C$2*$D27,0))</f>
        <v>#REF!</v>
      </c>
      <c r="U27" s="188" t="e">
        <f t="shared" si="7"/>
        <v>#REF!</v>
      </c>
      <c r="V27" s="200" t="e">
        <f t="shared" si="8"/>
        <v>#REF!</v>
      </c>
    </row>
    <row r="28" spans="1:22" ht="15" customHeight="1">
      <c r="A28" s="123" t="s">
        <v>585</v>
      </c>
      <c r="B28" s="123" t="s">
        <v>586</v>
      </c>
      <c r="C28" s="169" t="s">
        <v>584</v>
      </c>
      <c r="D28" s="170">
        <v>0.05</v>
      </c>
      <c r="E28" s="174" t="e">
        <f>IF($G23="Y",0,IF(($E23&lt;E25),VLOOKUP($D24&amp;$C28,#REF!,E25-$E23+1,FALSE)*'resource-variables'!$C$2*$D28,0))</f>
        <v>#REF!</v>
      </c>
      <c r="F28" s="174" t="e">
        <f>IF($G23="Y",0,IF(($E23&lt;F25),VLOOKUP($D24&amp;$C28,#REF!,F25-$E23+1,FALSE)*'resource-variables'!$C$2*$D28,0))</f>
        <v>#REF!</v>
      </c>
      <c r="G28" s="174" t="e">
        <f>IF($G23="Y",0,IF(($E23&lt;G25),VLOOKUP($D24&amp;$C28,#REF!,G25-$E23+1,FALSE)*'resource-variables'!$C$2*$D28,0))</f>
        <v>#REF!</v>
      </c>
      <c r="H28" s="174" t="e">
        <f>IF($G23="Y",0,IF(($E23&lt;H25),VLOOKUP($D24&amp;$C28,#REF!,H25-$E23+1,FALSE)*'resource-variables'!$C$2*$D28,0))</f>
        <v>#REF!</v>
      </c>
      <c r="I28" s="174" t="e">
        <f>IF($G23="Y",0,IF(($E23&lt;I25),VLOOKUP($D24&amp;$C28,#REF!,I25-$E23+1,FALSE)*'resource-variables'!$C$2*$D28,0))</f>
        <v>#REF!</v>
      </c>
      <c r="J28" s="174" t="e">
        <f>IF($G23="Y",0,IF(($E23&lt;J25),VLOOKUP($D24&amp;$C28,#REF!,J25-$E23+1,FALSE)*'resource-variables'!$C$2*$D28,0))</f>
        <v>#REF!</v>
      </c>
      <c r="K28" s="174" t="e">
        <f>IF($G23="Y",0,IF(($E23&lt;K25),VLOOKUP($D24&amp;$C28,#REF!,K25-$E23+1,FALSE)*'resource-variables'!$C$2*$D28,0))</f>
        <v>#REF!</v>
      </c>
      <c r="L28" s="174" t="e">
        <f>IF($G23="Y",0,IF(($E23&lt;L25),VLOOKUP($D24&amp;$C28,#REF!,L25-$E23+1,FALSE)*'resource-variables'!$C$2*$D28,0))</f>
        <v>#REF!</v>
      </c>
      <c r="M28" s="174" t="e">
        <f>IF($G23="Y",0,IF(($E23&lt;M25),VLOOKUP($D24&amp;$C28,#REF!,M25-$E23+1,FALSE)*'resource-variables'!$C$2*$D28,0))</f>
        <v>#REF!</v>
      </c>
      <c r="N28" s="174" t="e">
        <f>IF($G23="Y",0,IF(($E23&lt;N25),VLOOKUP($D24&amp;$C28,#REF!,N25-$E23+1,FALSE)*'resource-variables'!$C$2*$D28,0))</f>
        <v>#REF!</v>
      </c>
      <c r="O28" s="174" t="e">
        <f>IF($G23="Y",0,IF(($E23&lt;O25),VLOOKUP($D24&amp;$C28,#REF!,O25-$E23+1,FALSE)*'resource-variables'!$C$2*$D28,0))</f>
        <v>#REF!</v>
      </c>
      <c r="P28" s="174" t="e">
        <f>IF($G23="Y",0,IF(($E23&lt;P25),VLOOKUP($D24&amp;$C28,#REF!,P25-$E23+1,FALSE)*'resource-variables'!$C$2*$D28,0))</f>
        <v>#REF!</v>
      </c>
      <c r="Q28" s="174" t="e">
        <f>IF($G23="Y",0,IF(($E23&lt;Q25),VLOOKUP($D24&amp;$C28,#REF!,Q25-$E23+1,FALSE)*'resource-variables'!$C$2*$D28,0))</f>
        <v>#REF!</v>
      </c>
      <c r="R28" s="174" t="e">
        <f>IF($G23="Y",0,IF(($E23&lt;R25),VLOOKUP($D24&amp;$C28,#REF!,R25-$E23+1,FALSE)*'resource-variables'!$C$2*$D28,0))</f>
        <v>#REF!</v>
      </c>
      <c r="S28" s="174" t="e">
        <f>IF($G23="Y",0,IF(($E23&lt;S25),VLOOKUP($D24&amp;$C28,#REF!,S25-$E23+1,FALSE)*'resource-variables'!$C$2*$D28,0))</f>
        <v>#REF!</v>
      </c>
      <c r="T28" s="174" t="e">
        <f>IF($G23="Y",0,IF(($E23&lt;T25),VLOOKUP($D24&amp;$C28,#REF!,T25-$E23+1,FALSE)*'resource-variables'!$C$2*$D28,0))</f>
        <v>#REF!</v>
      </c>
      <c r="U28" s="188" t="e">
        <f t="shared" si="7"/>
        <v>#REF!</v>
      </c>
      <c r="V28" s="200" t="e">
        <f t="shared" si="8"/>
        <v>#REF!</v>
      </c>
    </row>
    <row r="29" spans="1:22" ht="15" customHeight="1">
      <c r="A29" s="123" t="s">
        <v>588</v>
      </c>
      <c r="B29" s="123" t="s">
        <v>589</v>
      </c>
      <c r="C29" s="169" t="s">
        <v>590</v>
      </c>
      <c r="D29" s="170">
        <v>0.05</v>
      </c>
      <c r="E29" s="174" t="e">
        <f>IF($G23="Y",0,IF(($E23&lt;E25),VLOOKUP($D24&amp;$C29,#REF!,E25-$E23+1,FALSE)*'resource-variables'!$C$2*$D29,0))</f>
        <v>#REF!</v>
      </c>
      <c r="F29" s="174" t="e">
        <f>IF($G23="Y",0,IF(($E23&lt;F25),VLOOKUP($D24&amp;$C29,#REF!,F25-$E23+1,FALSE)*'resource-variables'!$C$2*$D29,0))</f>
        <v>#REF!</v>
      </c>
      <c r="G29" s="174" t="e">
        <f>IF($G23="Y",0,IF(($E23&lt;G25),VLOOKUP($D24&amp;$C29,#REF!,G25-$E23+1,FALSE)*'resource-variables'!$C$2*$D29,0))</f>
        <v>#REF!</v>
      </c>
      <c r="H29" s="174" t="e">
        <f>IF($G23="Y",0,IF(($E23&lt;H25),VLOOKUP($D24&amp;$C29,#REF!,H25-$E23+1,FALSE)*'resource-variables'!$C$2*$D29,0))</f>
        <v>#REF!</v>
      </c>
      <c r="I29" s="174" t="e">
        <f>IF($G23="Y",0,IF(($E23&lt;I25),VLOOKUP($D24&amp;$C29,#REF!,I25-$E23+1,FALSE)*'resource-variables'!$C$2*$D29,0))</f>
        <v>#REF!</v>
      </c>
      <c r="J29" s="174" t="e">
        <f>IF($G23="Y",0,IF(($E23&lt;J25),VLOOKUP($D24&amp;$C29,#REF!,J25-$E23+1,FALSE)*'resource-variables'!$C$2*$D29,0))</f>
        <v>#REF!</v>
      </c>
      <c r="K29" s="174" t="e">
        <f>IF($G23="Y",0,IF(($E23&lt;K25),VLOOKUP($D24&amp;$C29,#REF!,K25-$E23+1,FALSE)*'resource-variables'!$C$2*$D29,0))</f>
        <v>#REF!</v>
      </c>
      <c r="L29" s="174" t="e">
        <f>IF($G23="Y",0,IF(($E23&lt;L25),VLOOKUP($D24&amp;$C29,#REF!,L25-$E23+1,FALSE)*'resource-variables'!$C$2*$D29,0))</f>
        <v>#REF!</v>
      </c>
      <c r="M29" s="174" t="e">
        <f>IF($G23="Y",0,IF(($E23&lt;M25),VLOOKUP($D24&amp;$C29,#REF!,M25-$E23+1,FALSE)*'resource-variables'!$C$2*$D29,0))</f>
        <v>#REF!</v>
      </c>
      <c r="N29" s="174" t="e">
        <f>IF($G23="Y",0,IF(($E23&lt;N25),VLOOKUP($D24&amp;$C29,#REF!,N25-$E23+1,FALSE)*'resource-variables'!$C$2*$D29,0))</f>
        <v>#REF!</v>
      </c>
      <c r="O29" s="174" t="e">
        <f>IF($G23="Y",0,IF(($E23&lt;O25),VLOOKUP($D24&amp;$C29,#REF!,O25-$E23+1,FALSE)*'resource-variables'!$C$2*$D29,0))</f>
        <v>#REF!</v>
      </c>
      <c r="P29" s="174" t="e">
        <f>IF($G23="Y",0,IF(($E23&lt;P25),VLOOKUP($D24&amp;$C29,#REF!,P25-$E23+1,FALSE)*'resource-variables'!$C$2*$D29,0))</f>
        <v>#REF!</v>
      </c>
      <c r="Q29" s="174" t="e">
        <f>IF($G23="Y",0,IF(($E23&lt;Q25),VLOOKUP($D24&amp;$C29,#REF!,Q25-$E23+1,FALSE)*'resource-variables'!$C$2*$D29,0))</f>
        <v>#REF!</v>
      </c>
      <c r="R29" s="174" t="e">
        <f>IF($G23="Y",0,IF(($E23&lt;R25),VLOOKUP($D24&amp;$C29,#REF!,R25-$E23+1,FALSE)*'resource-variables'!$C$2*$D29,0))</f>
        <v>#REF!</v>
      </c>
      <c r="S29" s="174" t="e">
        <f>IF($G23="Y",0,IF(($E23&lt;S25),VLOOKUP($D24&amp;$C29,#REF!,S25-$E23+1,FALSE)*'resource-variables'!$C$2*$D29,0))</f>
        <v>#REF!</v>
      </c>
      <c r="T29" s="174" t="e">
        <f>IF($G23="Y",0,IF(($E23&lt;T25),VLOOKUP($D24&amp;$C29,#REF!,T25-$E23+1,FALSE)*'resource-variables'!$C$2*$D29,0))</f>
        <v>#REF!</v>
      </c>
      <c r="U29" s="188" t="e">
        <f t="shared" si="7"/>
        <v>#REF!</v>
      </c>
      <c r="V29" s="200" t="e">
        <f t="shared" si="8"/>
        <v>#REF!</v>
      </c>
    </row>
    <row r="30" spans="1:22" ht="15" customHeight="1">
      <c r="A30" s="123" t="s">
        <v>256</v>
      </c>
      <c r="B30" s="123" t="s">
        <v>591</v>
      </c>
      <c r="C30" s="169" t="s">
        <v>592</v>
      </c>
      <c r="D30" s="170">
        <v>0.1</v>
      </c>
      <c r="E30" s="174" t="e">
        <f>IF($G23="Y",0,IF(($E23&lt;E25),VLOOKUP($D24&amp;$C30,#REF!,E25-$E23+1,FALSE)*'resource-variables'!$C$2*$D30,0))</f>
        <v>#REF!</v>
      </c>
      <c r="F30" s="174" t="e">
        <f>IF($G23="Y",0,IF(($E23&lt;F25),VLOOKUP($D24&amp;$C30,#REF!,F25-$E23+1,FALSE)*'resource-variables'!$C$2*$D30,0))</f>
        <v>#REF!</v>
      </c>
      <c r="G30" s="174" t="e">
        <f>IF($G23="Y",0,IF(($E23&lt;G25),VLOOKUP($D24&amp;$C30,#REF!,G25-$E23+1,FALSE)*'resource-variables'!$C$2*$D30,0))</f>
        <v>#REF!</v>
      </c>
      <c r="H30" s="174" t="e">
        <f>IF($G23="Y",0,IF(($E23&lt;H25),VLOOKUP($D24&amp;$C30,#REF!,H25-$E23+1,FALSE)*'resource-variables'!$C$2*$D30,0))</f>
        <v>#REF!</v>
      </c>
      <c r="I30" s="174" t="e">
        <f>IF($G23="Y",0,IF(($E23&lt;I25),VLOOKUP($D24&amp;$C30,#REF!,I25-$E23+1,FALSE)*'resource-variables'!$C$2*$D30,0))</f>
        <v>#REF!</v>
      </c>
      <c r="J30" s="174" t="e">
        <f>IF($G23="Y",0,IF(($E23&lt;J25),VLOOKUP($D24&amp;$C30,#REF!,J25-$E23+1,FALSE)*'resource-variables'!$C$2*$D30,0))</f>
        <v>#REF!</v>
      </c>
      <c r="K30" s="174" t="e">
        <f>IF($G23="Y",0,IF(($E23&lt;K25),VLOOKUP($D24&amp;$C30,#REF!,K25-$E23+1,FALSE)*'resource-variables'!$C$2*$D30,0))</f>
        <v>#REF!</v>
      </c>
      <c r="L30" s="174" t="e">
        <f>IF($G23="Y",0,IF(($E23&lt;L25),VLOOKUP($D24&amp;$C30,#REF!,L25-$E23+1,FALSE)*'resource-variables'!$C$2*$D30,0))</f>
        <v>#REF!</v>
      </c>
      <c r="M30" s="174" t="e">
        <f>IF($G23="Y",0,IF(($E23&lt;M25),VLOOKUP($D24&amp;$C30,#REF!,M25-$E23+1,FALSE)*'resource-variables'!$C$2*$D30,0))</f>
        <v>#REF!</v>
      </c>
      <c r="N30" s="174" t="e">
        <f>IF($G23="Y",0,IF(($E23&lt;N25),VLOOKUP($D24&amp;$C30,#REF!,N25-$E23+1,FALSE)*'resource-variables'!$C$2*$D30,0))</f>
        <v>#REF!</v>
      </c>
      <c r="O30" s="174" t="e">
        <f>IF($G23="Y",0,IF(($E23&lt;O25),VLOOKUP($D24&amp;$C30,#REF!,O25-$E23+1,FALSE)*'resource-variables'!$C$2*$D30,0))</f>
        <v>#REF!</v>
      </c>
      <c r="P30" s="174" t="e">
        <f>IF($G23="Y",0,IF(($E23&lt;P25),VLOOKUP($D24&amp;$C30,#REF!,P25-$E23+1,FALSE)*'resource-variables'!$C$2*$D30,0))</f>
        <v>#REF!</v>
      </c>
      <c r="Q30" s="174" t="e">
        <f>IF($G23="Y",0,IF(($E23&lt;Q25),VLOOKUP($D24&amp;$C30,#REF!,Q25-$E23+1,FALSE)*'resource-variables'!$C$2*$D30,0))</f>
        <v>#REF!</v>
      </c>
      <c r="R30" s="174" t="e">
        <f>IF($G23="Y",0,IF(($E23&lt;R25),VLOOKUP($D24&amp;$C30,#REF!,R25-$E23+1,FALSE)*'resource-variables'!$C$2*$D30,0))</f>
        <v>#REF!</v>
      </c>
      <c r="S30" s="174" t="e">
        <f>IF($G23="Y",0,IF(($E23&lt;S25),VLOOKUP($D24&amp;$C30,#REF!,S25-$E23+1,FALSE)*'resource-variables'!$C$2*$D30,0))</f>
        <v>#REF!</v>
      </c>
      <c r="T30" s="174" t="e">
        <f>IF($G23="Y",0,IF(($E23&lt;T25),VLOOKUP($D24&amp;$C30,#REF!,T25-$E23+1,FALSE)*'resource-variables'!$C$2*$D30,0))</f>
        <v>#REF!</v>
      </c>
      <c r="U30" s="188" t="e">
        <f t="shared" si="7"/>
        <v>#REF!</v>
      </c>
      <c r="V30" s="200" t="e">
        <f t="shared" si="8"/>
        <v>#REF!</v>
      </c>
    </row>
    <row r="31" spans="1:22" ht="15" customHeight="1">
      <c r="A31" s="123" t="s">
        <v>594</v>
      </c>
      <c r="B31" s="123" t="s">
        <v>596</v>
      </c>
      <c r="C31" s="169" t="s">
        <v>592</v>
      </c>
      <c r="D31" s="170">
        <v>0.1</v>
      </c>
      <c r="E31" s="174" t="e">
        <f>IF($G23="Y",0,IF(($E23&lt;E25),VLOOKUP($D24&amp;$C31,#REF!,E25-$E23+1,FALSE)*'resource-variables'!$C$2*$D31,0))</f>
        <v>#REF!</v>
      </c>
      <c r="F31" s="174" t="e">
        <f>IF($G23="Y",0,IF(($E23&lt;F25),VLOOKUP($D24&amp;$C31,#REF!,F25-$E23+1,FALSE)*'resource-variables'!$C$2*$D31,0))</f>
        <v>#REF!</v>
      </c>
      <c r="G31" s="174" t="e">
        <f>IF($G23="Y",0,IF(($E23&lt;G25),VLOOKUP($D24&amp;$C31,#REF!,G25-$E23+1,FALSE)*'resource-variables'!$C$2*$D31,0))</f>
        <v>#REF!</v>
      </c>
      <c r="H31" s="174" t="e">
        <f>IF($G23="Y",0,IF(($E23&lt;H25),VLOOKUP($D24&amp;$C31,#REF!,H25-$E23+1,FALSE)*'resource-variables'!$C$2*$D31,0))</f>
        <v>#REF!</v>
      </c>
      <c r="I31" s="174" t="e">
        <f>IF($G23="Y",0,IF(($E23&lt;I25),VLOOKUP($D24&amp;$C31,#REF!,I25-$E23+1,FALSE)*'resource-variables'!$C$2*$D31,0))</f>
        <v>#REF!</v>
      </c>
      <c r="J31" s="174" t="e">
        <f>IF($G23="Y",0,IF(($E23&lt;J25),VLOOKUP($D24&amp;$C31,#REF!,J25-$E23+1,FALSE)*'resource-variables'!$C$2*$D31,0))</f>
        <v>#REF!</v>
      </c>
      <c r="K31" s="174" t="e">
        <f>IF($G23="Y",0,IF(($E23&lt;K25),VLOOKUP($D24&amp;$C31,#REF!,K25-$E23+1,FALSE)*'resource-variables'!$C$2*$D31,0))</f>
        <v>#REF!</v>
      </c>
      <c r="L31" s="174" t="e">
        <f>IF($G23="Y",0,IF(($E23&lt;L25),VLOOKUP($D24&amp;$C31,#REF!,L25-$E23+1,FALSE)*'resource-variables'!$C$2*$D31,0))</f>
        <v>#REF!</v>
      </c>
      <c r="M31" s="174" t="e">
        <f>IF($G23="Y",0,IF(($E23&lt;M25),VLOOKUP($D24&amp;$C31,#REF!,M25-$E23+1,FALSE)*'resource-variables'!$C$2*$D31,0))</f>
        <v>#REF!</v>
      </c>
      <c r="N31" s="174" t="e">
        <f>IF($G23="Y",0,IF(($E23&lt;N25),VLOOKUP($D24&amp;$C31,#REF!,N25-$E23+1,FALSE)*'resource-variables'!$C$2*$D31,0))</f>
        <v>#REF!</v>
      </c>
      <c r="O31" s="174" t="e">
        <f>IF($G23="Y",0,IF(($E23&lt;O25),VLOOKUP($D24&amp;$C31,#REF!,O25-$E23+1,FALSE)*'resource-variables'!$C$2*$D31,0))</f>
        <v>#REF!</v>
      </c>
      <c r="P31" s="174" t="e">
        <f>IF($G23="Y",0,IF(($E23&lt;P25),VLOOKUP($D24&amp;$C31,#REF!,P25-$E23+1,FALSE)*'resource-variables'!$C$2*$D31,0))</f>
        <v>#REF!</v>
      </c>
      <c r="Q31" s="174" t="e">
        <f>IF($G23="Y",0,IF(($E23&lt;Q25),VLOOKUP($D24&amp;$C31,#REF!,Q25-$E23+1,FALSE)*'resource-variables'!$C$2*$D31,0))</f>
        <v>#REF!</v>
      </c>
      <c r="R31" s="174" t="e">
        <f>IF($G23="Y",0,IF(($E23&lt;R25),VLOOKUP($D24&amp;$C31,#REF!,R25-$E23+1,FALSE)*'resource-variables'!$C$2*$D31,0))</f>
        <v>#REF!</v>
      </c>
      <c r="S31" s="174" t="e">
        <f>IF($G23="Y",0,IF(($E23&lt;S25),VLOOKUP($D24&amp;$C31,#REF!,S25-$E23+1,FALSE)*'resource-variables'!$C$2*$D31,0))</f>
        <v>#REF!</v>
      </c>
      <c r="T31" s="174" t="e">
        <f>IF($G23="Y",0,IF(($E23&lt;T25),VLOOKUP($D24&amp;$C31,#REF!,T25-$E23+1,FALSE)*'resource-variables'!$C$2*$D31,0))</f>
        <v>#REF!</v>
      </c>
      <c r="U31" s="188" t="e">
        <f t="shared" si="7"/>
        <v>#REF!</v>
      </c>
      <c r="V31" s="200" t="e">
        <f t="shared" si="8"/>
        <v>#REF!</v>
      </c>
    </row>
    <row r="32" spans="1:22" ht="15" customHeight="1">
      <c r="A32" s="123" t="s">
        <v>527</v>
      </c>
      <c r="B32" s="123" t="s">
        <v>597</v>
      </c>
      <c r="C32" s="169" t="s">
        <v>590</v>
      </c>
      <c r="D32" s="170">
        <v>0.4</v>
      </c>
      <c r="E32" s="174" t="e">
        <f>IF($G23="Y",0,IF(($E23&lt;E25),VLOOKUP($D24&amp;$C32,#REF!,E25-$E23+1,FALSE)*'resource-variables'!$C$2*$D32,0))</f>
        <v>#REF!</v>
      </c>
      <c r="F32" s="174" t="e">
        <f>IF($G23="Y",0,IF(($E23&lt;F25),VLOOKUP($D24&amp;$C32,#REF!,F25-$E23+1,FALSE)*'resource-variables'!$C$2*$D32,0))</f>
        <v>#REF!</v>
      </c>
      <c r="G32" s="174" t="e">
        <f>IF($G23="Y",0,IF(($E23&lt;G25),VLOOKUP($D24&amp;$C32,#REF!,G25-$E23+1,FALSE)*'resource-variables'!$C$2*$D32,0))</f>
        <v>#REF!</v>
      </c>
      <c r="H32" s="174" t="e">
        <f>IF($G23="Y",0,IF(($E23&lt;H25),VLOOKUP($D24&amp;$C32,#REF!,H25-$E23+1,FALSE)*'resource-variables'!$C$2*$D32,0))</f>
        <v>#REF!</v>
      </c>
      <c r="I32" s="174" t="e">
        <f>IF($G23="Y",0,IF(($E23&lt;I25),VLOOKUP($D24&amp;$C32,#REF!,I25-$E23+1,FALSE)*'resource-variables'!$C$2*$D32,0))</f>
        <v>#REF!</v>
      </c>
      <c r="J32" s="174" t="e">
        <f>IF($G23="Y",0,IF(($E23&lt;J25),VLOOKUP($D24&amp;$C32,#REF!,J25-$E23+1,FALSE)*'resource-variables'!$C$2*$D32,0))</f>
        <v>#REF!</v>
      </c>
      <c r="K32" s="174" t="e">
        <f>IF($G23="Y",0,IF(($E23&lt;K25),VLOOKUP($D24&amp;$C32,#REF!,K25-$E23+1,FALSE)*'resource-variables'!$C$2*$D32,0))</f>
        <v>#REF!</v>
      </c>
      <c r="L32" s="174" t="e">
        <f>IF($G23="Y",0,IF(($E23&lt;L25),VLOOKUP($D24&amp;$C32,#REF!,L25-$E23+1,FALSE)*'resource-variables'!$C$2*$D32,0))</f>
        <v>#REF!</v>
      </c>
      <c r="M32" s="174" t="e">
        <f>IF($G23="Y",0,IF(($E23&lt;M25),VLOOKUP($D24&amp;$C32,#REF!,M25-$E23+1,FALSE)*'resource-variables'!$C$2*$D32,0))</f>
        <v>#REF!</v>
      </c>
      <c r="N32" s="174" t="e">
        <f>IF($G23="Y",0,IF(($E23&lt;N25),VLOOKUP($D24&amp;$C32,#REF!,N25-$E23+1,FALSE)*'resource-variables'!$C$2*$D32,0))</f>
        <v>#REF!</v>
      </c>
      <c r="O32" s="174" t="e">
        <f>IF($G23="Y",0,IF(($E23&lt;O25),VLOOKUP($D24&amp;$C32,#REF!,O25-$E23+1,FALSE)*'resource-variables'!$C$2*$D32,0))</f>
        <v>#REF!</v>
      </c>
      <c r="P32" s="174" t="e">
        <f>IF($G23="Y",0,IF(($E23&lt;P25),VLOOKUP($D24&amp;$C32,#REF!,P25-$E23+1,FALSE)*'resource-variables'!$C$2*$D32,0))</f>
        <v>#REF!</v>
      </c>
      <c r="Q32" s="174" t="e">
        <f>IF($G23="Y",0,IF(($E23&lt;Q25),VLOOKUP($D24&amp;$C32,#REF!,Q25-$E23+1,FALSE)*'resource-variables'!$C$2*$D32,0))</f>
        <v>#REF!</v>
      </c>
      <c r="R32" s="174" t="e">
        <f>IF($G23="Y",0,IF(($E23&lt;R25),VLOOKUP($D24&amp;$C32,#REF!,R25-$E23+1,FALSE)*'resource-variables'!$C$2*$D32,0))</f>
        <v>#REF!</v>
      </c>
      <c r="S32" s="174" t="e">
        <f>IF($G23="Y",0,IF(($E23&lt;S25),VLOOKUP($D24&amp;$C32,#REF!,S25-$E23+1,FALSE)*'resource-variables'!$C$2*$D32,0))</f>
        <v>#REF!</v>
      </c>
      <c r="T32" s="174" t="e">
        <f>IF($G23="Y",0,IF(($E23&lt;T25),VLOOKUP($D24&amp;$C32,#REF!,T25-$E23+1,FALSE)*'resource-variables'!$C$2*$D32,0))</f>
        <v>#REF!</v>
      </c>
      <c r="U32" s="188" t="e">
        <f t="shared" si="7"/>
        <v>#REF!</v>
      </c>
      <c r="V32" s="200" t="e">
        <f t="shared" si="8"/>
        <v>#REF!</v>
      </c>
    </row>
    <row r="33" spans="1:22" ht="15" customHeight="1">
      <c r="A33" s="270"/>
      <c r="B33" s="270"/>
      <c r="C33" s="270"/>
      <c r="D33" s="270"/>
      <c r="E33" s="270"/>
      <c r="F33" s="270"/>
      <c r="G33" s="270"/>
      <c r="H33" s="270"/>
      <c r="I33" s="270"/>
      <c r="J33" s="270"/>
      <c r="K33" s="270"/>
      <c r="L33" s="270"/>
      <c r="M33" s="270"/>
      <c r="N33" s="270"/>
      <c r="O33" s="270"/>
      <c r="P33" s="270"/>
      <c r="Q33" s="270"/>
      <c r="R33" s="270"/>
      <c r="S33" s="270"/>
      <c r="T33" s="270"/>
      <c r="U33" s="272"/>
      <c r="V33" s="272"/>
    </row>
    <row r="34" spans="1:22" ht="15" customHeight="1">
      <c r="A34" s="129"/>
      <c r="B34" s="129"/>
      <c r="C34" s="129"/>
      <c r="D34" s="129"/>
      <c r="E34" s="129"/>
      <c r="F34" s="129"/>
      <c r="G34" s="129"/>
      <c r="H34" s="129"/>
      <c r="I34" s="129"/>
      <c r="J34" s="129"/>
      <c r="K34" s="129"/>
      <c r="L34" s="129"/>
      <c r="M34" s="129"/>
      <c r="N34" s="129"/>
      <c r="O34" s="129"/>
      <c r="P34" s="129"/>
      <c r="Q34" s="129"/>
      <c r="R34" s="129"/>
      <c r="S34" s="129"/>
      <c r="T34" s="129"/>
      <c r="U34" s="360"/>
      <c r="V34" s="360"/>
    </row>
    <row r="35" spans="1:22" ht="15" customHeight="1">
      <c r="A35" s="129"/>
      <c r="B35" s="129"/>
      <c r="C35" s="129"/>
      <c r="D35" s="129"/>
      <c r="E35" s="129"/>
      <c r="F35" s="129"/>
      <c r="G35" s="129"/>
      <c r="H35" s="129"/>
      <c r="I35" s="129"/>
      <c r="J35" s="129"/>
      <c r="K35" s="129"/>
      <c r="L35" s="129"/>
      <c r="M35" s="129"/>
      <c r="N35" s="129"/>
      <c r="O35" s="129"/>
      <c r="P35" s="129"/>
      <c r="Q35" s="129"/>
      <c r="R35" s="129"/>
      <c r="S35" s="129"/>
      <c r="T35" s="129"/>
      <c r="U35" s="360"/>
      <c r="V35" s="360"/>
    </row>
    <row r="36" spans="1:22" ht="15" customHeight="1">
      <c r="A36" s="129"/>
      <c r="B36" s="129"/>
      <c r="C36" s="129"/>
      <c r="D36" s="129"/>
      <c r="E36" s="129"/>
      <c r="F36" s="129"/>
      <c r="G36" s="129"/>
      <c r="H36" s="129"/>
      <c r="I36" s="129"/>
      <c r="J36" s="129"/>
      <c r="K36" s="129"/>
      <c r="L36" s="129"/>
      <c r="M36" s="129"/>
      <c r="N36" s="129"/>
      <c r="O36" s="129"/>
      <c r="P36" s="129"/>
      <c r="Q36" s="129"/>
      <c r="R36" s="129"/>
      <c r="S36" s="129"/>
      <c r="T36" s="129"/>
      <c r="U36" s="360"/>
      <c r="V36" s="360"/>
    </row>
    <row r="37" spans="1:22" ht="15" customHeight="1">
      <c r="A37" s="129"/>
      <c r="B37" s="129"/>
      <c r="C37" s="129"/>
      <c r="D37" s="129"/>
      <c r="E37" s="129"/>
      <c r="F37" s="129"/>
      <c r="G37" s="129"/>
      <c r="H37" s="129"/>
      <c r="I37" s="129"/>
      <c r="J37" s="129"/>
      <c r="K37" s="129"/>
      <c r="L37" s="129"/>
      <c r="M37" s="129"/>
      <c r="N37" s="129"/>
      <c r="O37" s="129"/>
      <c r="P37" s="129"/>
      <c r="Q37" s="129"/>
      <c r="R37" s="129"/>
      <c r="S37" s="129"/>
      <c r="T37" s="129"/>
      <c r="U37" s="360"/>
      <c r="V37" s="360"/>
    </row>
    <row r="38" spans="1:22" ht="15" customHeight="1">
      <c r="A38" s="129"/>
      <c r="B38" s="129"/>
      <c r="C38" s="129"/>
      <c r="D38" s="129"/>
      <c r="E38" s="129"/>
      <c r="F38" s="129"/>
      <c r="G38" s="129"/>
      <c r="H38" s="129"/>
      <c r="I38" s="129"/>
      <c r="J38" s="129"/>
      <c r="K38" s="129"/>
      <c r="L38" s="129"/>
      <c r="M38" s="129"/>
      <c r="N38" s="129"/>
      <c r="O38" s="129"/>
      <c r="P38" s="129"/>
      <c r="Q38" s="129"/>
      <c r="R38" s="129"/>
      <c r="S38" s="129"/>
      <c r="T38" s="129"/>
      <c r="U38" s="360"/>
      <c r="V38" s="360"/>
    </row>
    <row r="39" spans="1:22" ht="15" customHeight="1">
      <c r="A39" s="129"/>
      <c r="B39" s="129"/>
      <c r="C39" s="129"/>
      <c r="D39" s="129"/>
      <c r="E39" s="129"/>
      <c r="F39" s="129"/>
      <c r="G39" s="129"/>
      <c r="H39" s="129"/>
      <c r="I39" s="129"/>
      <c r="J39" s="129"/>
      <c r="K39" s="129"/>
      <c r="L39" s="129"/>
      <c r="M39" s="129"/>
      <c r="N39" s="129"/>
      <c r="O39" s="129"/>
      <c r="P39" s="129"/>
      <c r="Q39" s="129"/>
      <c r="R39" s="129"/>
      <c r="S39" s="129"/>
      <c r="T39" s="129"/>
      <c r="U39" s="360"/>
      <c r="V39" s="360"/>
    </row>
  </sheetData>
  <mergeCells count="6">
    <mergeCell ref="A1:C1"/>
    <mergeCell ref="E2:T2"/>
    <mergeCell ref="A12:C12"/>
    <mergeCell ref="E13:T13"/>
    <mergeCell ref="A23:C23"/>
    <mergeCell ref="E24:T24"/>
  </mergeCells>
  <dataValidations count="4">
    <dataValidation type="list" allowBlank="1" sqref="G1 G12 G23">
      <formula1>"N,Y"</formula1>
    </dataValidation>
    <dataValidation type="decimal" allowBlank="1" showErrorMessage="1" sqref="B2 B13 B24">
      <formula1>1</formula1>
      <formula2>10</formula2>
    </dataValidation>
    <dataValidation type="list" allowBlank="1" sqref="A1 A12 A23">
      <formula1>apm!$B$6:$B$42</formula1>
    </dataValidation>
    <dataValidation type="list" allowBlank="1" sqref="C4:C10 C15:C21 C26:C32">
      <formula1>"builds,constant,peaks,tapers"</formula1>
    </dataValidation>
  </dataValidation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C11"/>
  <sheetViews>
    <sheetView workbookViewId="0" topLeftCell="A1"/>
  </sheetViews>
  <sheetFormatPr defaultColWidth="14.421875" defaultRowHeight="12.75" customHeight="1"/>
  <cols>
    <col min="1" max="1" width="28.57421875" style="0" customWidth="1"/>
    <col min="2" max="2" width="4.00390625" style="0" customWidth="1"/>
    <col min="3" max="20" width="17.28125" style="0" customWidth="1"/>
  </cols>
  <sheetData>
    <row r="1" spans="1:2" ht="12.75">
      <c r="A1" s="13" t="s">
        <v>57</v>
      </c>
      <c r="B1" s="13">
        <v>1</v>
      </c>
    </row>
    <row r="2" spans="1:2" ht="12.75">
      <c r="A2" s="13" t="s">
        <v>60</v>
      </c>
      <c r="B2" s="13">
        <v>2</v>
      </c>
    </row>
    <row r="3" spans="1:2" ht="12.75">
      <c r="A3" s="84" t="s">
        <v>62</v>
      </c>
      <c r="B3" s="84">
        <v>2.1</v>
      </c>
    </row>
    <row r="4" spans="1:2" ht="12.75">
      <c r="A4" s="84" t="s">
        <v>244</v>
      </c>
      <c r="B4" s="84">
        <v>2.2</v>
      </c>
    </row>
    <row r="5" spans="1:3" ht="12.75">
      <c r="A5" s="84" t="s">
        <v>245</v>
      </c>
      <c r="B5" s="84">
        <v>3</v>
      </c>
      <c r="C5" s="125"/>
    </row>
    <row r="6" spans="1:2" ht="12.75">
      <c r="A6" s="13" t="s">
        <v>260</v>
      </c>
      <c r="B6" s="13">
        <v>4</v>
      </c>
    </row>
    <row r="7" spans="1:2" ht="12.75">
      <c r="A7" s="13" t="s">
        <v>257</v>
      </c>
      <c r="B7" s="13">
        <v>5</v>
      </c>
    </row>
    <row r="8" spans="1:3" ht="12.75">
      <c r="A8" s="13" t="s">
        <v>321</v>
      </c>
      <c r="B8" s="13">
        <v>6</v>
      </c>
      <c r="C8" s="13" t="s">
        <v>420</v>
      </c>
    </row>
    <row r="9" spans="1:2" ht="12.75">
      <c r="A9" s="13" t="s">
        <v>310</v>
      </c>
      <c r="B9" s="13">
        <v>7</v>
      </c>
    </row>
    <row r="10" spans="1:3" ht="12.75">
      <c r="A10" s="13" t="s">
        <v>421</v>
      </c>
      <c r="B10" s="13">
        <v>8</v>
      </c>
      <c r="C10" s="13" t="s">
        <v>422</v>
      </c>
    </row>
    <row r="11" spans="1:3" ht="12.75">
      <c r="A11" s="13" t="s">
        <v>252</v>
      </c>
      <c r="B11" s="13">
        <v>9</v>
      </c>
      <c r="C11" s="13" t="s">
        <v>424</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V41"/>
  <sheetViews>
    <sheetView workbookViewId="0" topLeftCell="A1">
      <pane xSplit="1" ySplit="2" topLeftCell="B3" activePane="bottomRight" state="frozen"/>
      <selection pane="topRight" activeCell="B1" sqref="B1"/>
      <selection pane="bottomLeft" activeCell="A3" sqref="A3"/>
      <selection pane="bottomRight" activeCell="B3" sqref="B3"/>
    </sheetView>
  </sheetViews>
  <sheetFormatPr defaultColWidth="14.421875" defaultRowHeight="12.75" customHeight="1"/>
  <cols>
    <col min="1" max="1" width="17.28125" style="0" customWidth="1"/>
    <col min="2" max="2" width="29.00390625" style="0" customWidth="1"/>
    <col min="3" max="3" width="17.28125" style="0" customWidth="1"/>
    <col min="4" max="4" width="15.140625" style="0" customWidth="1"/>
    <col min="5" max="17" width="8.00390625" style="0" customWidth="1"/>
    <col min="18" max="18" width="7.28125" style="0" customWidth="1"/>
    <col min="19" max="19" width="7.7109375" style="0" customWidth="1"/>
    <col min="20" max="20" width="7.421875" style="0" customWidth="1"/>
    <col min="21" max="21" width="9.140625" style="0" customWidth="1"/>
    <col min="22" max="22" width="8.7109375" style="0" customWidth="1"/>
  </cols>
  <sheetData>
    <row r="1" ht="12" customHeight="1">
      <c r="E1" s="29" t="s">
        <v>6</v>
      </c>
    </row>
    <row r="2" spans="1:22" ht="12" customHeight="1">
      <c r="A2" s="15" t="s">
        <v>4</v>
      </c>
      <c r="B2" s="15" t="s">
        <v>18</v>
      </c>
      <c r="C2" s="15" t="s">
        <v>241</v>
      </c>
      <c r="D2" s="15" t="s">
        <v>138</v>
      </c>
      <c r="E2" s="30">
        <v>41225</v>
      </c>
      <c r="F2" s="32" t="str">
        <f aca="true" t="shared" si="0" ref="F2:V2">E2+7</f>
        <v>11/19</v>
      </c>
      <c r="G2" s="32" t="str">
        <f t="shared" si="0"/>
        <v>11/26</v>
      </c>
      <c r="H2" s="32" t="str">
        <f t="shared" si="0"/>
        <v>12/3</v>
      </c>
      <c r="I2" s="32" t="str">
        <f t="shared" si="0"/>
        <v>12/10</v>
      </c>
      <c r="J2" s="32" t="str">
        <f t="shared" si="0"/>
        <v>12/17</v>
      </c>
      <c r="K2" s="32" t="str">
        <f t="shared" si="0"/>
        <v>12/24</v>
      </c>
      <c r="L2" s="32" t="str">
        <f t="shared" si="0"/>
        <v>12/31</v>
      </c>
      <c r="M2" s="32" t="str">
        <f t="shared" si="0"/>
        <v>1/7</v>
      </c>
      <c r="N2" s="32" t="str">
        <f t="shared" si="0"/>
        <v>1/14</v>
      </c>
      <c r="O2" s="32" t="str">
        <f t="shared" si="0"/>
        <v>1/21</v>
      </c>
      <c r="P2" s="32" t="str">
        <f t="shared" si="0"/>
        <v>1/28</v>
      </c>
      <c r="Q2" s="32" t="str">
        <f t="shared" si="0"/>
        <v>2/4</v>
      </c>
      <c r="R2" s="32" t="str">
        <f t="shared" si="0"/>
        <v>2/11</v>
      </c>
      <c r="S2" s="32" t="str">
        <f t="shared" si="0"/>
        <v>2/18</v>
      </c>
      <c r="T2" s="32" t="str">
        <f t="shared" si="0"/>
        <v>2/25</v>
      </c>
      <c r="U2" s="32" t="str">
        <f t="shared" si="0"/>
        <v>3/4</v>
      </c>
      <c r="V2" s="32" t="str">
        <f t="shared" si="0"/>
        <v>3/11</v>
      </c>
    </row>
    <row r="3" spans="1:19" ht="12" customHeight="1">
      <c r="A3" s="15" t="s">
        <v>47</v>
      </c>
      <c r="B3" s="13" t="s">
        <v>57</v>
      </c>
      <c r="D3" s="15">
        <v>25</v>
      </c>
      <c r="E3" s="50" t="s">
        <v>143</v>
      </c>
      <c r="F3" s="50" t="s">
        <v>143</v>
      </c>
      <c r="G3" s="50" t="s">
        <v>143</v>
      </c>
      <c r="H3" s="50" t="s">
        <v>143</v>
      </c>
      <c r="I3" s="50" t="s">
        <v>143</v>
      </c>
      <c r="J3" s="50" t="s">
        <v>143</v>
      </c>
      <c r="K3" s="50" t="s">
        <v>143</v>
      </c>
      <c r="L3" s="50" t="s">
        <v>143</v>
      </c>
      <c r="M3" s="50" t="s">
        <v>143</v>
      </c>
      <c r="N3" s="50" t="s">
        <v>143</v>
      </c>
      <c r="O3" s="50" t="s">
        <v>143</v>
      </c>
      <c r="P3" s="50" t="s">
        <v>143</v>
      </c>
      <c r="Q3" s="50" t="s">
        <v>143</v>
      </c>
      <c r="R3" s="50" t="s">
        <v>143</v>
      </c>
      <c r="S3" s="50" t="s">
        <v>143</v>
      </c>
    </row>
    <row r="4" spans="2:19" ht="12" customHeight="1">
      <c r="B4" s="13" t="s">
        <v>242</v>
      </c>
      <c r="D4" s="15">
        <v>50</v>
      </c>
      <c r="E4" s="50" t="s">
        <v>143</v>
      </c>
      <c r="F4" s="50" t="s">
        <v>143</v>
      </c>
      <c r="G4" s="50" t="s">
        <v>143</v>
      </c>
      <c r="H4" s="50" t="s">
        <v>143</v>
      </c>
      <c r="I4" s="50" t="s">
        <v>143</v>
      </c>
      <c r="J4" s="50" t="s">
        <v>143</v>
      </c>
      <c r="K4" s="50" t="s">
        <v>143</v>
      </c>
      <c r="L4" s="50" t="s">
        <v>143</v>
      </c>
      <c r="M4" s="50" t="s">
        <v>143</v>
      </c>
      <c r="N4" s="50" t="s">
        <v>143</v>
      </c>
      <c r="O4" s="50" t="s">
        <v>143</v>
      </c>
      <c r="P4" s="50" t="s">
        <v>143</v>
      </c>
      <c r="Q4" s="50" t="s">
        <v>143</v>
      </c>
      <c r="R4" s="50" t="s">
        <v>143</v>
      </c>
      <c r="S4" s="50" t="s">
        <v>143</v>
      </c>
    </row>
    <row r="5" spans="4:19" ht="12" customHeight="1">
      <c r="D5" s="15">
        <v>10</v>
      </c>
      <c r="E5" s="50" t="s">
        <v>143</v>
      </c>
      <c r="F5" s="50" t="s">
        <v>143</v>
      </c>
      <c r="G5" s="50" t="s">
        <v>143</v>
      </c>
      <c r="H5" s="50" t="s">
        <v>143</v>
      </c>
      <c r="I5" s="50" t="s">
        <v>143</v>
      </c>
      <c r="J5" s="50" t="s">
        <v>143</v>
      </c>
      <c r="K5" s="50" t="s">
        <v>143</v>
      </c>
      <c r="L5" s="50" t="s">
        <v>143</v>
      </c>
      <c r="M5" s="50" t="s">
        <v>143</v>
      </c>
      <c r="N5" s="50" t="s">
        <v>143</v>
      </c>
      <c r="O5" s="50" t="s">
        <v>143</v>
      </c>
      <c r="P5" s="50" t="s">
        <v>143</v>
      </c>
      <c r="Q5" s="50" t="s">
        <v>143</v>
      </c>
      <c r="R5" s="50" t="s">
        <v>143</v>
      </c>
      <c r="S5" s="50" t="s">
        <v>143</v>
      </c>
    </row>
    <row r="6" spans="2:19" ht="12" customHeight="1">
      <c r="B6" s="15" t="s">
        <v>142</v>
      </c>
      <c r="C6" s="39"/>
      <c r="D6" s="15">
        <v>15</v>
      </c>
      <c r="E6" s="50" t="s">
        <v>143</v>
      </c>
      <c r="F6" s="50" t="s">
        <v>143</v>
      </c>
      <c r="G6" s="50" t="s">
        <v>143</v>
      </c>
      <c r="H6" s="50" t="s">
        <v>143</v>
      </c>
      <c r="I6" s="50" t="s">
        <v>143</v>
      </c>
      <c r="J6" s="50" t="s">
        <v>143</v>
      </c>
      <c r="K6" s="50" t="s">
        <v>143</v>
      </c>
      <c r="L6" s="50" t="s">
        <v>143</v>
      </c>
      <c r="M6" s="50" t="s">
        <v>143</v>
      </c>
      <c r="N6" s="50" t="s">
        <v>143</v>
      </c>
      <c r="O6" s="50" t="s">
        <v>143</v>
      </c>
      <c r="P6" s="50" t="s">
        <v>143</v>
      </c>
      <c r="Q6" s="50" t="s">
        <v>143</v>
      </c>
      <c r="R6" s="50" t="s">
        <v>143</v>
      </c>
      <c r="S6" s="50" t="s">
        <v>143</v>
      </c>
    </row>
    <row r="8" spans="1:19" ht="12" customHeight="1">
      <c r="A8" s="15" t="s">
        <v>52</v>
      </c>
      <c r="B8" s="15" t="s">
        <v>142</v>
      </c>
      <c r="C8" s="39"/>
      <c r="D8" s="15">
        <v>20</v>
      </c>
      <c r="E8" s="15" t="s">
        <v>143</v>
      </c>
      <c r="F8" s="15" t="s">
        <v>143</v>
      </c>
      <c r="G8" s="15" t="s">
        <v>143</v>
      </c>
      <c r="H8" s="15" t="s">
        <v>143</v>
      </c>
      <c r="I8" s="15" t="s">
        <v>143</v>
      </c>
      <c r="J8" s="15" t="s">
        <v>143</v>
      </c>
      <c r="K8" s="15" t="s">
        <v>143</v>
      </c>
      <c r="L8" s="15" t="s">
        <v>143</v>
      </c>
      <c r="M8" s="15" t="s">
        <v>143</v>
      </c>
      <c r="N8" s="15" t="s">
        <v>143</v>
      </c>
      <c r="O8" s="15" t="s">
        <v>143</v>
      </c>
      <c r="P8" s="15" t="s">
        <v>143</v>
      </c>
      <c r="Q8" s="15" t="s">
        <v>143</v>
      </c>
      <c r="R8" s="15" t="s">
        <v>143</v>
      </c>
      <c r="S8" s="15" t="s">
        <v>143</v>
      </c>
    </row>
    <row r="9" spans="2:19" ht="12" customHeight="1">
      <c r="B9" s="15" t="s">
        <v>57</v>
      </c>
      <c r="C9" s="39"/>
      <c r="D9" s="15">
        <v>25</v>
      </c>
      <c r="E9" s="15" t="s">
        <v>143</v>
      </c>
      <c r="F9" s="15" t="s">
        <v>143</v>
      </c>
      <c r="G9" s="15" t="s">
        <v>143</v>
      </c>
      <c r="H9" s="15" t="s">
        <v>143</v>
      </c>
      <c r="I9" s="15" t="s">
        <v>143</v>
      </c>
      <c r="J9" s="15" t="s">
        <v>143</v>
      </c>
      <c r="K9" s="15" t="s">
        <v>143</v>
      </c>
      <c r="L9" s="15" t="s">
        <v>143</v>
      </c>
      <c r="M9" s="15" t="s">
        <v>143</v>
      </c>
      <c r="N9" s="15" t="s">
        <v>143</v>
      </c>
      <c r="O9" s="15" t="s">
        <v>143</v>
      </c>
      <c r="P9" s="15" t="s">
        <v>143</v>
      </c>
      <c r="Q9" s="15" t="s">
        <v>143</v>
      </c>
      <c r="R9" s="15" t="s">
        <v>143</v>
      </c>
      <c r="S9" s="15" t="s">
        <v>143</v>
      </c>
    </row>
    <row r="10" spans="2:19" ht="12.75">
      <c r="B10" s="13" t="s">
        <v>252</v>
      </c>
      <c r="D10" s="15">
        <v>20</v>
      </c>
      <c r="E10" s="15" t="s">
        <v>143</v>
      </c>
      <c r="F10" s="15" t="s">
        <v>143</v>
      </c>
      <c r="G10" s="15" t="s">
        <v>143</v>
      </c>
      <c r="H10" s="15" t="s">
        <v>143</v>
      </c>
      <c r="I10" s="15" t="s">
        <v>143</v>
      </c>
      <c r="J10" s="15" t="s">
        <v>143</v>
      </c>
      <c r="K10" s="15" t="s">
        <v>143</v>
      </c>
      <c r="L10" s="15" t="s">
        <v>143</v>
      </c>
      <c r="M10" s="15" t="s">
        <v>143</v>
      </c>
      <c r="N10" s="15" t="s">
        <v>143</v>
      </c>
      <c r="O10" s="15" t="s">
        <v>143</v>
      </c>
      <c r="P10" s="15" t="s">
        <v>143</v>
      </c>
      <c r="Q10" s="15" t="s">
        <v>143</v>
      </c>
      <c r="R10" s="15" t="s">
        <v>143</v>
      </c>
      <c r="S10" s="15" t="s">
        <v>143</v>
      </c>
    </row>
    <row r="11" spans="2:19" ht="12.75">
      <c r="B11" s="15" t="s">
        <v>254</v>
      </c>
      <c r="D11" s="13">
        <v>35</v>
      </c>
      <c r="E11" s="15" t="s">
        <v>143</v>
      </c>
      <c r="F11" s="15" t="s">
        <v>143</v>
      </c>
      <c r="G11" s="15" t="s">
        <v>143</v>
      </c>
      <c r="H11" s="15" t="s">
        <v>143</v>
      </c>
      <c r="I11" s="15" t="s">
        <v>143</v>
      </c>
      <c r="J11" s="15" t="s">
        <v>143</v>
      </c>
      <c r="K11" s="15" t="s">
        <v>143</v>
      </c>
      <c r="L11" s="15" t="s">
        <v>143</v>
      </c>
      <c r="M11" s="15" t="s">
        <v>143</v>
      </c>
      <c r="N11" s="15" t="s">
        <v>143</v>
      </c>
      <c r="O11" s="15" t="s">
        <v>143</v>
      </c>
      <c r="P11" s="15" t="s">
        <v>143</v>
      </c>
      <c r="Q11" s="15" t="s">
        <v>143</v>
      </c>
      <c r="R11" s="15" t="s">
        <v>143</v>
      </c>
      <c r="S11" s="15" t="s">
        <v>143</v>
      </c>
    </row>
    <row r="13" spans="1:19" ht="12" customHeight="1">
      <c r="A13" s="15" t="s">
        <v>160</v>
      </c>
      <c r="B13" s="13" t="s">
        <v>57</v>
      </c>
      <c r="D13" s="15">
        <v>50</v>
      </c>
      <c r="E13" s="13" t="s">
        <v>143</v>
      </c>
      <c r="F13" s="13" t="s">
        <v>143</v>
      </c>
      <c r="G13" s="13" t="s">
        <v>143</v>
      </c>
      <c r="H13" s="13" t="s">
        <v>143</v>
      </c>
      <c r="I13" s="13" t="s">
        <v>143</v>
      </c>
      <c r="J13" s="13" t="s">
        <v>143</v>
      </c>
      <c r="K13" s="13" t="s">
        <v>143</v>
      </c>
      <c r="L13" s="13" t="s">
        <v>143</v>
      </c>
      <c r="M13" s="13" t="s">
        <v>143</v>
      </c>
      <c r="N13" s="13" t="s">
        <v>143</v>
      </c>
      <c r="O13" s="13" t="s">
        <v>143</v>
      </c>
      <c r="P13" s="13" t="s">
        <v>143</v>
      </c>
      <c r="Q13" s="13" t="s">
        <v>143</v>
      </c>
      <c r="R13" s="13" t="s">
        <v>143</v>
      </c>
      <c r="S13" s="13" t="s">
        <v>143</v>
      </c>
    </row>
    <row r="14" spans="2:19" ht="16.5" customHeight="1">
      <c r="B14" s="13" t="s">
        <v>257</v>
      </c>
      <c r="D14" s="15">
        <v>30</v>
      </c>
      <c r="E14" s="13" t="s">
        <v>143</v>
      </c>
      <c r="F14" s="13" t="s">
        <v>143</v>
      </c>
      <c r="G14" s="13" t="s">
        <v>143</v>
      </c>
      <c r="H14" s="13" t="s">
        <v>143</v>
      </c>
      <c r="I14" s="13" t="s">
        <v>143</v>
      </c>
      <c r="J14" s="13" t="s">
        <v>143</v>
      </c>
      <c r="K14" s="13" t="s">
        <v>143</v>
      </c>
      <c r="L14" s="13" t="s">
        <v>143</v>
      </c>
      <c r="M14" s="13" t="s">
        <v>143</v>
      </c>
      <c r="N14" s="13" t="s">
        <v>143</v>
      </c>
      <c r="O14" s="13" t="s">
        <v>143</v>
      </c>
      <c r="P14" s="13" t="s">
        <v>143</v>
      </c>
      <c r="Q14" s="13" t="s">
        <v>143</v>
      </c>
      <c r="R14" s="13" t="s">
        <v>143</v>
      </c>
      <c r="S14" s="13" t="s">
        <v>143</v>
      </c>
    </row>
    <row r="15" spans="2:19" ht="12" customHeight="1">
      <c r="B15" s="13" t="s">
        <v>260</v>
      </c>
      <c r="D15" s="15">
        <v>20</v>
      </c>
      <c r="E15" s="13" t="s">
        <v>143</v>
      </c>
      <c r="F15" s="13" t="s">
        <v>143</v>
      </c>
      <c r="G15" s="13" t="s">
        <v>143</v>
      </c>
      <c r="H15" s="13" t="s">
        <v>143</v>
      </c>
      <c r="I15" s="13" t="s">
        <v>143</v>
      </c>
      <c r="J15" s="13" t="s">
        <v>143</v>
      </c>
      <c r="K15" s="13" t="s">
        <v>143</v>
      </c>
      <c r="L15" s="13" t="s">
        <v>143</v>
      </c>
      <c r="M15" s="13" t="s">
        <v>143</v>
      </c>
      <c r="N15" s="13" t="s">
        <v>143</v>
      </c>
      <c r="O15" s="13" t="s">
        <v>143</v>
      </c>
      <c r="P15" s="13" t="s">
        <v>143</v>
      </c>
      <c r="Q15" s="13" t="s">
        <v>143</v>
      </c>
      <c r="R15" s="13" t="s">
        <v>143</v>
      </c>
      <c r="S15" s="13" t="s">
        <v>143</v>
      </c>
    </row>
    <row r="17" spans="1:19" ht="12" customHeight="1">
      <c r="A17" s="15" t="s">
        <v>56</v>
      </c>
      <c r="B17" s="15" t="s">
        <v>142</v>
      </c>
      <c r="C17" s="39"/>
      <c r="D17" s="15">
        <v>40</v>
      </c>
      <c r="E17" s="15" t="s">
        <v>143</v>
      </c>
      <c r="F17" s="15" t="s">
        <v>143</v>
      </c>
      <c r="G17" s="15" t="s">
        <v>143</v>
      </c>
      <c r="H17" s="15" t="s">
        <v>143</v>
      </c>
      <c r="I17" s="15" t="s">
        <v>143</v>
      </c>
      <c r="J17" s="15" t="s">
        <v>143</v>
      </c>
      <c r="K17" s="15" t="s">
        <v>143</v>
      </c>
      <c r="L17" s="15" t="s">
        <v>143</v>
      </c>
      <c r="M17" s="15" t="s">
        <v>143</v>
      </c>
      <c r="N17" s="15" t="s">
        <v>143</v>
      </c>
      <c r="O17" s="15" t="s">
        <v>143</v>
      </c>
      <c r="P17" s="15" t="s">
        <v>143</v>
      </c>
      <c r="Q17" s="15" t="s">
        <v>143</v>
      </c>
      <c r="R17" s="15" t="s">
        <v>143</v>
      </c>
      <c r="S17" s="15" t="s">
        <v>143</v>
      </c>
    </row>
    <row r="18" spans="2:19" ht="12" customHeight="1">
      <c r="B18" s="15" t="s">
        <v>182</v>
      </c>
      <c r="C18" s="39"/>
      <c r="D18" s="15">
        <v>10</v>
      </c>
      <c r="E18" s="15" t="s">
        <v>143</v>
      </c>
      <c r="F18" s="15" t="s">
        <v>143</v>
      </c>
      <c r="G18" s="15" t="s">
        <v>143</v>
      </c>
      <c r="H18" s="15" t="s">
        <v>143</v>
      </c>
      <c r="I18" s="15" t="s">
        <v>143</v>
      </c>
      <c r="J18" s="15" t="s">
        <v>143</v>
      </c>
      <c r="K18" s="15" t="s">
        <v>143</v>
      </c>
      <c r="L18" s="15" t="s">
        <v>143</v>
      </c>
      <c r="M18" s="15" t="s">
        <v>143</v>
      </c>
      <c r="N18" s="15" t="s">
        <v>143</v>
      </c>
      <c r="O18" s="15" t="s">
        <v>143</v>
      </c>
      <c r="P18" s="15" t="s">
        <v>143</v>
      </c>
      <c r="Q18" s="15" t="s">
        <v>143</v>
      </c>
      <c r="R18" s="15" t="s">
        <v>143</v>
      </c>
      <c r="S18" s="15" t="s">
        <v>143</v>
      </c>
    </row>
    <row r="19" spans="2:19" ht="12" customHeight="1">
      <c r="B19" s="15" t="s">
        <v>183</v>
      </c>
      <c r="C19" s="39"/>
      <c r="D19" s="15">
        <v>50</v>
      </c>
      <c r="E19" s="15" t="s">
        <v>143</v>
      </c>
      <c r="F19" s="15" t="s">
        <v>143</v>
      </c>
      <c r="G19" s="15" t="s">
        <v>143</v>
      </c>
      <c r="H19" s="15" t="s">
        <v>143</v>
      </c>
      <c r="I19" s="15" t="s">
        <v>143</v>
      </c>
      <c r="J19" s="15" t="s">
        <v>143</v>
      </c>
      <c r="K19" s="15" t="s">
        <v>143</v>
      </c>
      <c r="L19" s="15" t="s">
        <v>143</v>
      </c>
      <c r="M19" s="15" t="s">
        <v>143</v>
      </c>
      <c r="N19" s="15" t="s">
        <v>143</v>
      </c>
      <c r="O19" s="15" t="s">
        <v>143</v>
      </c>
      <c r="P19" s="15" t="s">
        <v>143</v>
      </c>
      <c r="Q19" s="15" t="s">
        <v>143</v>
      </c>
      <c r="R19" s="15" t="s">
        <v>143</v>
      </c>
      <c r="S19" s="15" t="s">
        <v>143</v>
      </c>
    </row>
    <row r="21" spans="1:19" ht="12" customHeight="1">
      <c r="A21" s="15" t="s">
        <v>59</v>
      </c>
      <c r="B21" s="15" t="s">
        <v>142</v>
      </c>
      <c r="C21" s="39"/>
      <c r="D21" s="15">
        <v>25</v>
      </c>
      <c r="E21" s="15" t="s">
        <v>143</v>
      </c>
      <c r="F21" s="15" t="s">
        <v>143</v>
      </c>
      <c r="G21" s="15" t="s">
        <v>143</v>
      </c>
      <c r="H21" s="15" t="s">
        <v>143</v>
      </c>
      <c r="I21" s="15" t="s">
        <v>143</v>
      </c>
      <c r="J21" s="15" t="s">
        <v>143</v>
      </c>
      <c r="K21" s="15" t="s">
        <v>143</v>
      </c>
      <c r="L21" s="15" t="s">
        <v>143</v>
      </c>
      <c r="M21" s="15" t="s">
        <v>143</v>
      </c>
      <c r="N21" s="15" t="s">
        <v>143</v>
      </c>
      <c r="O21" s="15" t="s">
        <v>143</v>
      </c>
      <c r="P21" s="15" t="s">
        <v>143</v>
      </c>
      <c r="Q21" s="15" t="s">
        <v>143</v>
      </c>
      <c r="R21" s="15" t="s">
        <v>143</v>
      </c>
      <c r="S21" s="15" t="s">
        <v>143</v>
      </c>
    </row>
    <row r="22" spans="2:19" ht="12.75">
      <c r="B22" s="15" t="s">
        <v>189</v>
      </c>
      <c r="C22" s="39"/>
      <c r="D22" s="15">
        <v>25</v>
      </c>
      <c r="E22" s="15" t="s">
        <v>143</v>
      </c>
      <c r="F22" s="15" t="s">
        <v>143</v>
      </c>
      <c r="G22" s="15" t="s">
        <v>143</v>
      </c>
      <c r="H22" s="15" t="s">
        <v>143</v>
      </c>
      <c r="I22" s="15" t="s">
        <v>143</v>
      </c>
      <c r="J22" s="15" t="s">
        <v>143</v>
      </c>
      <c r="K22" s="15" t="s">
        <v>143</v>
      </c>
      <c r="L22" s="15" t="s">
        <v>143</v>
      </c>
      <c r="M22" s="15" t="s">
        <v>143</v>
      </c>
      <c r="N22" s="15" t="s">
        <v>143</v>
      </c>
      <c r="O22" s="15" t="s">
        <v>143</v>
      </c>
      <c r="P22" s="15" t="s">
        <v>143</v>
      </c>
      <c r="Q22" s="15" t="s">
        <v>143</v>
      </c>
      <c r="R22" s="15" t="s">
        <v>143</v>
      </c>
      <c r="S22" s="15" t="s">
        <v>143</v>
      </c>
    </row>
    <row r="23" spans="2:19" ht="12.75">
      <c r="B23" s="15" t="s">
        <v>190</v>
      </c>
      <c r="C23" s="39"/>
      <c r="D23" s="15">
        <v>50</v>
      </c>
      <c r="E23" s="15" t="s">
        <v>143</v>
      </c>
      <c r="F23" s="15" t="s">
        <v>143</v>
      </c>
      <c r="G23" s="15" t="s">
        <v>143</v>
      </c>
      <c r="H23" s="15" t="s">
        <v>143</v>
      </c>
      <c r="I23" s="15" t="s">
        <v>143</v>
      </c>
      <c r="J23" s="15" t="s">
        <v>143</v>
      </c>
      <c r="K23" s="15" t="s">
        <v>143</v>
      </c>
      <c r="L23" s="15" t="s">
        <v>143</v>
      </c>
      <c r="M23" s="15" t="s">
        <v>143</v>
      </c>
      <c r="N23" s="15" t="s">
        <v>143</v>
      </c>
      <c r="O23" s="15" t="s">
        <v>143</v>
      </c>
      <c r="P23" s="15" t="s">
        <v>143</v>
      </c>
      <c r="Q23" s="15" t="s">
        <v>143</v>
      </c>
      <c r="R23" s="15" t="s">
        <v>143</v>
      </c>
      <c r="S23" s="15" t="s">
        <v>143</v>
      </c>
    </row>
    <row r="25" spans="1:19" ht="12" customHeight="1">
      <c r="A25" s="15" t="s">
        <v>48</v>
      </c>
      <c r="B25" s="15" t="s">
        <v>142</v>
      </c>
      <c r="C25" s="39"/>
      <c r="D25" s="15">
        <v>10</v>
      </c>
      <c r="E25" s="50" t="s">
        <v>143</v>
      </c>
      <c r="F25" s="50" t="s">
        <v>143</v>
      </c>
      <c r="G25" s="50" t="s">
        <v>143</v>
      </c>
      <c r="H25" s="50" t="s">
        <v>143</v>
      </c>
      <c r="I25" s="50" t="s">
        <v>143</v>
      </c>
      <c r="J25" s="50" t="s">
        <v>143</v>
      </c>
      <c r="K25" s="50" t="s">
        <v>143</v>
      </c>
      <c r="L25" s="50" t="s">
        <v>143</v>
      </c>
      <c r="M25" s="50" t="s">
        <v>143</v>
      </c>
      <c r="N25" s="50" t="s">
        <v>143</v>
      </c>
      <c r="O25" s="50" t="s">
        <v>143</v>
      </c>
      <c r="P25" s="50" t="s">
        <v>143</v>
      </c>
      <c r="Q25" s="50" t="s">
        <v>143</v>
      </c>
      <c r="R25" s="50" t="s">
        <v>143</v>
      </c>
      <c r="S25" s="50" t="s">
        <v>143</v>
      </c>
    </row>
    <row r="26" spans="2:19" ht="12" customHeight="1">
      <c r="B26" s="15" t="s">
        <v>197</v>
      </c>
      <c r="C26" s="39"/>
      <c r="D26" s="15">
        <v>40</v>
      </c>
      <c r="E26" s="50" t="s">
        <v>143</v>
      </c>
      <c r="F26" s="50" t="s">
        <v>143</v>
      </c>
      <c r="G26" s="50" t="s">
        <v>143</v>
      </c>
      <c r="H26" s="50" t="s">
        <v>143</v>
      </c>
      <c r="I26" s="50" t="s">
        <v>143</v>
      </c>
      <c r="J26" s="50" t="s">
        <v>143</v>
      </c>
      <c r="K26" s="50" t="s">
        <v>143</v>
      </c>
      <c r="L26" s="50" t="s">
        <v>143</v>
      </c>
      <c r="M26" s="50" t="s">
        <v>143</v>
      </c>
      <c r="N26" s="50" t="s">
        <v>143</v>
      </c>
      <c r="O26" s="50" t="s">
        <v>143</v>
      </c>
      <c r="P26" s="50" t="s">
        <v>143</v>
      </c>
      <c r="Q26" s="50" t="s">
        <v>143</v>
      </c>
      <c r="R26" s="50" t="s">
        <v>143</v>
      </c>
      <c r="S26" s="50" t="s">
        <v>143</v>
      </c>
    </row>
    <row r="27" spans="2:19" ht="12" customHeight="1">
      <c r="B27" s="15" t="s">
        <v>198</v>
      </c>
      <c r="C27" s="39"/>
      <c r="D27" s="15">
        <v>30</v>
      </c>
      <c r="E27" s="50" t="s">
        <v>143</v>
      </c>
      <c r="F27" s="50" t="s">
        <v>143</v>
      </c>
      <c r="G27" s="50" t="s">
        <v>143</v>
      </c>
      <c r="H27" s="50" t="s">
        <v>143</v>
      </c>
      <c r="I27" s="50" t="s">
        <v>143</v>
      </c>
      <c r="J27" s="50" t="s">
        <v>143</v>
      </c>
      <c r="K27" s="50" t="s">
        <v>143</v>
      </c>
      <c r="L27" s="50" t="s">
        <v>143</v>
      </c>
      <c r="M27" s="50" t="s">
        <v>143</v>
      </c>
      <c r="N27" s="50" t="s">
        <v>143</v>
      </c>
      <c r="O27" s="50" t="s">
        <v>143</v>
      </c>
      <c r="P27" s="50" t="s">
        <v>143</v>
      </c>
      <c r="Q27" s="50" t="s">
        <v>143</v>
      </c>
      <c r="R27" s="50" t="s">
        <v>143</v>
      </c>
      <c r="S27" s="50" t="s">
        <v>143</v>
      </c>
    </row>
    <row r="28" spans="2:19" ht="12" customHeight="1">
      <c r="B28" s="15" t="s">
        <v>199</v>
      </c>
      <c r="C28" s="39"/>
      <c r="D28" s="15">
        <v>10</v>
      </c>
      <c r="E28" s="50" t="s">
        <v>143</v>
      </c>
      <c r="F28" s="50" t="s">
        <v>143</v>
      </c>
      <c r="G28" s="50" t="s">
        <v>143</v>
      </c>
      <c r="H28" s="50" t="s">
        <v>143</v>
      </c>
      <c r="I28" s="50" t="s">
        <v>143</v>
      </c>
      <c r="J28" s="50" t="s">
        <v>143</v>
      </c>
      <c r="K28" s="50" t="s">
        <v>143</v>
      </c>
      <c r="L28" s="50" t="s">
        <v>143</v>
      </c>
      <c r="M28" s="50" t="s">
        <v>143</v>
      </c>
      <c r="N28" s="50" t="s">
        <v>143</v>
      </c>
      <c r="O28" s="50" t="s">
        <v>143</v>
      </c>
      <c r="P28" s="50" t="s">
        <v>143</v>
      </c>
      <c r="Q28" s="50" t="s">
        <v>143</v>
      </c>
      <c r="R28" s="50" t="s">
        <v>143</v>
      </c>
      <c r="S28" s="50" t="s">
        <v>143</v>
      </c>
    </row>
    <row r="29" spans="2:19" ht="12" customHeight="1">
      <c r="B29" s="15" t="s">
        <v>304</v>
      </c>
      <c r="C29" s="39"/>
      <c r="D29" s="15">
        <v>10</v>
      </c>
      <c r="E29" s="50" t="s">
        <v>143</v>
      </c>
      <c r="F29" s="50" t="s">
        <v>143</v>
      </c>
      <c r="G29" s="50" t="s">
        <v>143</v>
      </c>
      <c r="H29" s="50" t="s">
        <v>143</v>
      </c>
      <c r="I29" s="50" t="s">
        <v>143</v>
      </c>
      <c r="J29" s="50" t="s">
        <v>143</v>
      </c>
      <c r="K29" s="50" t="s">
        <v>143</v>
      </c>
      <c r="L29" s="50" t="s">
        <v>143</v>
      </c>
      <c r="M29" s="50" t="s">
        <v>143</v>
      </c>
      <c r="N29" s="50" t="s">
        <v>143</v>
      </c>
      <c r="O29" s="50" t="s">
        <v>143</v>
      </c>
      <c r="P29" s="50" t="s">
        <v>143</v>
      </c>
      <c r="Q29" s="50" t="s">
        <v>143</v>
      </c>
      <c r="R29" s="50" t="s">
        <v>143</v>
      </c>
      <c r="S29" s="50" t="s">
        <v>143</v>
      </c>
    </row>
    <row r="31" spans="1:19" ht="12" customHeight="1">
      <c r="A31" s="15" t="s">
        <v>201</v>
      </c>
      <c r="B31" s="15" t="s">
        <v>142</v>
      </c>
      <c r="C31" s="39"/>
      <c r="D31" s="15">
        <v>10</v>
      </c>
      <c r="E31" s="50" t="s">
        <v>143</v>
      </c>
      <c r="F31" s="50" t="s">
        <v>143</v>
      </c>
      <c r="G31" s="50" t="s">
        <v>143</v>
      </c>
      <c r="H31" s="50" t="s">
        <v>143</v>
      </c>
      <c r="I31" s="50" t="s">
        <v>143</v>
      </c>
      <c r="J31" s="50" t="s">
        <v>143</v>
      </c>
      <c r="K31" s="50" t="s">
        <v>143</v>
      </c>
      <c r="L31" s="50" t="s">
        <v>143</v>
      </c>
      <c r="M31" s="50" t="s">
        <v>143</v>
      </c>
      <c r="N31" s="50" t="s">
        <v>143</v>
      </c>
      <c r="O31" s="50" t="s">
        <v>143</v>
      </c>
      <c r="P31" s="50" t="s">
        <v>143</v>
      </c>
      <c r="Q31" s="50" t="s">
        <v>143</v>
      </c>
      <c r="R31" s="50" t="s">
        <v>143</v>
      </c>
      <c r="S31" s="50" t="s">
        <v>143</v>
      </c>
    </row>
    <row r="32" spans="2:19" ht="12" customHeight="1">
      <c r="B32" s="15" t="s">
        <v>218</v>
      </c>
      <c r="C32" s="39"/>
      <c r="D32" s="15">
        <v>20</v>
      </c>
      <c r="E32" s="50" t="s">
        <v>143</v>
      </c>
      <c r="F32" s="50" t="s">
        <v>143</v>
      </c>
      <c r="G32" s="50" t="s">
        <v>143</v>
      </c>
      <c r="H32" s="50" t="s">
        <v>143</v>
      </c>
      <c r="I32" s="50" t="s">
        <v>143</v>
      </c>
      <c r="J32" s="50" t="s">
        <v>143</v>
      </c>
      <c r="K32" s="50" t="s">
        <v>143</v>
      </c>
      <c r="L32" s="50" t="s">
        <v>143</v>
      </c>
      <c r="M32" s="50" t="s">
        <v>143</v>
      </c>
      <c r="N32" s="50" t="s">
        <v>143</v>
      </c>
      <c r="O32" s="50" t="s">
        <v>143</v>
      </c>
      <c r="P32" s="50" t="s">
        <v>143</v>
      </c>
      <c r="Q32" s="50" t="s">
        <v>143</v>
      </c>
      <c r="R32" s="50" t="s">
        <v>143</v>
      </c>
      <c r="S32" s="50" t="s">
        <v>143</v>
      </c>
    </row>
    <row r="33" spans="2:19" ht="12.75">
      <c r="B33" s="13" t="s">
        <v>307</v>
      </c>
      <c r="D33" s="15">
        <v>40</v>
      </c>
      <c r="E33" s="50" t="s">
        <v>143</v>
      </c>
      <c r="F33" s="50" t="s">
        <v>143</v>
      </c>
      <c r="G33" s="50" t="s">
        <v>143</v>
      </c>
      <c r="H33" s="50" t="s">
        <v>143</v>
      </c>
      <c r="I33" s="50" t="s">
        <v>143</v>
      </c>
      <c r="J33" s="50" t="s">
        <v>143</v>
      </c>
      <c r="K33" s="50" t="s">
        <v>143</v>
      </c>
      <c r="L33" s="50" t="s">
        <v>143</v>
      </c>
      <c r="M33" s="50" t="s">
        <v>143</v>
      </c>
      <c r="N33" s="50" t="s">
        <v>143</v>
      </c>
      <c r="O33" s="50" t="s">
        <v>143</v>
      </c>
      <c r="P33" s="50" t="s">
        <v>143</v>
      </c>
      <c r="Q33" s="50" t="s">
        <v>143</v>
      </c>
      <c r="R33" s="50" t="s">
        <v>143</v>
      </c>
      <c r="S33" s="50" t="s">
        <v>143</v>
      </c>
    </row>
    <row r="34" spans="2:19" ht="12.75">
      <c r="B34" s="13" t="s">
        <v>310</v>
      </c>
      <c r="D34" s="13">
        <v>20</v>
      </c>
      <c r="E34" s="50" t="s">
        <v>143</v>
      </c>
      <c r="F34" s="50" t="s">
        <v>143</v>
      </c>
      <c r="G34" s="50" t="s">
        <v>143</v>
      </c>
      <c r="H34" s="50" t="s">
        <v>143</v>
      </c>
      <c r="I34" s="50" t="s">
        <v>143</v>
      </c>
      <c r="J34" s="50" t="s">
        <v>143</v>
      </c>
      <c r="K34" s="50" t="s">
        <v>143</v>
      </c>
      <c r="L34" s="50" t="s">
        <v>143</v>
      </c>
      <c r="M34" s="50" t="s">
        <v>143</v>
      </c>
      <c r="N34" s="50" t="s">
        <v>143</v>
      </c>
      <c r="O34" s="50" t="s">
        <v>143</v>
      </c>
      <c r="P34" s="50" t="s">
        <v>143</v>
      </c>
      <c r="Q34" s="50" t="s">
        <v>143</v>
      </c>
      <c r="R34" s="50" t="s">
        <v>143</v>
      </c>
      <c r="S34" s="50" t="s">
        <v>143</v>
      </c>
    </row>
    <row r="35" spans="2:4" ht="12.75">
      <c r="B35" s="13" t="s">
        <v>244</v>
      </c>
      <c r="D35" s="13">
        <v>10</v>
      </c>
    </row>
    <row r="37" spans="1:19" ht="12" customHeight="1">
      <c r="A37" s="15" t="s">
        <v>223</v>
      </c>
      <c r="B37" s="15" t="s">
        <v>142</v>
      </c>
      <c r="C37" s="39"/>
      <c r="D37" s="15">
        <v>10</v>
      </c>
      <c r="E37" s="50" t="s">
        <v>143</v>
      </c>
      <c r="F37" s="50" t="s">
        <v>143</v>
      </c>
      <c r="G37" s="50" t="s">
        <v>143</v>
      </c>
      <c r="H37" s="50" t="s">
        <v>143</v>
      </c>
      <c r="I37" s="50" t="s">
        <v>143</v>
      </c>
      <c r="J37" s="50" t="s">
        <v>143</v>
      </c>
      <c r="K37" s="50" t="s">
        <v>143</v>
      </c>
      <c r="L37" s="50" t="s">
        <v>143</v>
      </c>
      <c r="M37" s="50" t="s">
        <v>143</v>
      </c>
      <c r="N37" s="50" t="s">
        <v>143</v>
      </c>
      <c r="O37" s="50" t="s">
        <v>143</v>
      </c>
      <c r="P37" s="50" t="s">
        <v>143</v>
      </c>
      <c r="Q37" s="50" t="s">
        <v>143</v>
      </c>
      <c r="R37" s="50" t="s">
        <v>143</v>
      </c>
      <c r="S37" s="50" t="s">
        <v>143</v>
      </c>
    </row>
    <row r="38" spans="2:17" ht="12" customHeight="1">
      <c r="B38" s="15" t="s">
        <v>57</v>
      </c>
      <c r="C38" s="39"/>
      <c r="D38" s="15">
        <v>30</v>
      </c>
      <c r="E38" s="50" t="s">
        <v>143</v>
      </c>
      <c r="F38" s="50" t="s">
        <v>143</v>
      </c>
      <c r="G38" s="50" t="s">
        <v>143</v>
      </c>
      <c r="H38" s="50" t="s">
        <v>143</v>
      </c>
      <c r="I38" s="50" t="s">
        <v>143</v>
      </c>
      <c r="J38" s="50" t="s">
        <v>143</v>
      </c>
      <c r="K38" s="50" t="s">
        <v>143</v>
      </c>
      <c r="L38" s="50" t="s">
        <v>143</v>
      </c>
      <c r="M38" s="50" t="s">
        <v>143</v>
      </c>
      <c r="N38" s="15" t="s">
        <v>157</v>
      </c>
      <c r="O38" s="15" t="s">
        <v>157</v>
      </c>
      <c r="P38" s="15" t="s">
        <v>157</v>
      </c>
      <c r="Q38" s="15" t="s">
        <v>157</v>
      </c>
    </row>
    <row r="39" spans="2:19" ht="12" customHeight="1">
      <c r="B39" s="15" t="s">
        <v>226</v>
      </c>
      <c r="C39" s="39"/>
      <c r="D39" s="15">
        <v>20</v>
      </c>
      <c r="E39" s="15" t="s">
        <v>143</v>
      </c>
      <c r="F39" s="15" t="s">
        <v>143</v>
      </c>
      <c r="G39" s="15" t="s">
        <v>143</v>
      </c>
      <c r="H39" s="15" t="s">
        <v>143</v>
      </c>
      <c r="I39" s="15" t="s">
        <v>143</v>
      </c>
      <c r="J39" s="15" t="s">
        <v>143</v>
      </c>
      <c r="K39" s="15" t="s">
        <v>143</v>
      </c>
      <c r="L39" s="15" t="s">
        <v>143</v>
      </c>
      <c r="M39" s="15" t="s">
        <v>143</v>
      </c>
      <c r="N39" s="15" t="s">
        <v>143</v>
      </c>
      <c r="O39" s="15" t="s">
        <v>143</v>
      </c>
      <c r="P39" s="15" t="s">
        <v>143</v>
      </c>
      <c r="Q39" s="15" t="s">
        <v>143</v>
      </c>
      <c r="R39" s="15" t="s">
        <v>143</v>
      </c>
      <c r="S39" s="15" t="s">
        <v>143</v>
      </c>
    </row>
    <row r="40" spans="2:19" ht="12" customHeight="1">
      <c r="B40" s="13" t="s">
        <v>321</v>
      </c>
      <c r="D40" s="15">
        <v>10</v>
      </c>
      <c r="E40" s="15" t="s">
        <v>143</v>
      </c>
      <c r="F40" s="15" t="s">
        <v>143</v>
      </c>
      <c r="G40" s="15" t="s">
        <v>143</v>
      </c>
      <c r="H40" s="15" t="s">
        <v>143</v>
      </c>
      <c r="I40" s="15" t="s">
        <v>143</v>
      </c>
      <c r="J40" s="15" t="s">
        <v>143</v>
      </c>
      <c r="K40" s="15" t="s">
        <v>143</v>
      </c>
      <c r="L40" s="15" t="s">
        <v>143</v>
      </c>
      <c r="M40" s="15" t="s">
        <v>143</v>
      </c>
      <c r="N40" s="15" t="s">
        <v>143</v>
      </c>
      <c r="O40" s="15" t="s">
        <v>143</v>
      </c>
      <c r="P40" s="15" t="s">
        <v>143</v>
      </c>
      <c r="Q40" s="15" t="s">
        <v>143</v>
      </c>
      <c r="R40" s="15" t="s">
        <v>143</v>
      </c>
      <c r="S40" s="15" t="s">
        <v>143</v>
      </c>
    </row>
    <row r="41" spans="2:19" ht="12" customHeight="1">
      <c r="B41" s="13" t="s">
        <v>260</v>
      </c>
      <c r="D41" s="15">
        <v>20</v>
      </c>
      <c r="E41" s="15" t="s">
        <v>143</v>
      </c>
      <c r="F41" s="15" t="s">
        <v>143</v>
      </c>
      <c r="G41" s="15" t="s">
        <v>143</v>
      </c>
      <c r="H41" s="15" t="s">
        <v>143</v>
      </c>
      <c r="I41" s="15" t="s">
        <v>143</v>
      </c>
      <c r="J41" s="15" t="s">
        <v>143</v>
      </c>
      <c r="K41" s="15" t="s">
        <v>143</v>
      </c>
      <c r="L41" s="15" t="s">
        <v>143</v>
      </c>
      <c r="M41" s="15" t="s">
        <v>143</v>
      </c>
      <c r="N41" s="15" t="s">
        <v>143</v>
      </c>
      <c r="O41" s="15" t="s">
        <v>143</v>
      </c>
      <c r="P41" s="15" t="s">
        <v>143</v>
      </c>
      <c r="Q41" s="15" t="s">
        <v>143</v>
      </c>
      <c r="R41" s="15" t="s">
        <v>143</v>
      </c>
      <c r="S41" s="15" t="s">
        <v>143</v>
      </c>
    </row>
  </sheetData>
  <mergeCells count="1">
    <mergeCell ref="E1:Q1"/>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2:P58"/>
  <sheetViews>
    <sheetView workbookViewId="0" topLeftCell="A1"/>
  </sheetViews>
  <sheetFormatPr defaultColWidth="14.421875" defaultRowHeight="12.75" customHeight="1"/>
  <cols>
    <col min="1" max="1" width="2.8515625" style="0" customWidth="1"/>
    <col min="2" max="2" width="3.00390625" style="0" customWidth="1"/>
    <col min="3" max="3" width="50.8515625" style="0" customWidth="1"/>
    <col min="4" max="6" width="7.421875" style="0" customWidth="1"/>
    <col min="7" max="7" width="6.7109375" style="0" customWidth="1"/>
    <col min="8" max="8" width="4.7109375" style="0" customWidth="1"/>
    <col min="9" max="9" width="3.8515625" style="0" customWidth="1"/>
    <col min="10" max="10" width="50.8515625" style="0" customWidth="1"/>
    <col min="11" max="11" width="9.00390625" style="0" hidden="1" customWidth="1"/>
    <col min="12" max="12" width="8.8515625" style="0" customWidth="1"/>
    <col min="13" max="13" width="6.7109375" style="0" customWidth="1"/>
    <col min="14" max="14" width="4.00390625" style="0" customWidth="1"/>
    <col min="15" max="15" width="50.8515625" style="0" customWidth="1"/>
    <col min="16" max="16" width="7.421875" style="0" customWidth="1"/>
  </cols>
  <sheetData>
    <row r="1" ht="12" customHeight="1"/>
    <row r="2" ht="17.25" customHeight="1">
      <c r="B2" s="66" t="s">
        <v>86</v>
      </c>
    </row>
    <row r="3" ht="17.25" customHeight="1">
      <c r="B3" s="66" t="s">
        <v>215</v>
      </c>
    </row>
    <row r="4" spans="2:16" ht="12" customHeight="1">
      <c r="B4" s="130"/>
      <c r="C4" s="130"/>
      <c r="D4" s="130"/>
      <c r="E4" s="130"/>
      <c r="F4" s="130"/>
      <c r="G4" s="130"/>
      <c r="O4" s="130"/>
      <c r="P4" s="130"/>
    </row>
    <row r="5" spans="1:16" ht="17.25" customHeight="1">
      <c r="A5" s="145"/>
      <c r="B5" s="147" t="s">
        <v>0</v>
      </c>
      <c r="C5" s="148" t="s">
        <v>426</v>
      </c>
      <c r="D5" s="150" t="s">
        <v>534</v>
      </c>
      <c r="E5" s="150" t="s">
        <v>112</v>
      </c>
      <c r="F5" s="196" t="s">
        <v>180</v>
      </c>
      <c r="G5" s="199" t="s">
        <v>145</v>
      </c>
      <c r="H5" s="220"/>
      <c r="N5" s="145"/>
      <c r="O5" s="196" t="s">
        <v>144</v>
      </c>
      <c r="P5" s="199" t="s">
        <v>145</v>
      </c>
    </row>
    <row r="6" spans="1:16" ht="15" customHeight="1">
      <c r="A6" s="145"/>
      <c r="B6" s="222">
        <v>1</v>
      </c>
      <c r="C6" s="223"/>
      <c r="D6" s="223"/>
      <c r="E6" s="223"/>
      <c r="F6" s="225" t="e">
        <f>SUM((D6/E6))</f>
        <v>#DIV/0!</v>
      </c>
      <c r="G6" s="226"/>
      <c r="H6" s="220"/>
      <c r="N6" s="145"/>
      <c r="O6" s="228"/>
      <c r="P6" s="229"/>
    </row>
    <row r="7" spans="1:16" ht="12.75">
      <c r="A7" s="145"/>
      <c r="B7" s="230">
        <v>2</v>
      </c>
      <c r="C7" s="231"/>
      <c r="D7" s="231"/>
      <c r="E7" s="231"/>
      <c r="F7" s="233"/>
      <c r="G7" s="236" t="s">
        <v>561</v>
      </c>
      <c r="H7" s="220"/>
      <c r="N7" s="145"/>
      <c r="O7" s="238"/>
      <c r="P7" s="239"/>
    </row>
    <row r="8" spans="1:16" ht="12.75">
      <c r="A8" s="145"/>
      <c r="B8" s="230">
        <v>3</v>
      </c>
      <c r="C8" s="231"/>
      <c r="D8" s="231"/>
      <c r="E8" s="231"/>
      <c r="F8" s="240"/>
      <c r="G8" s="248"/>
      <c r="H8" s="220"/>
      <c r="N8" s="145"/>
      <c r="O8" s="238"/>
      <c r="P8" s="239"/>
    </row>
    <row r="9" spans="1:16" ht="12.75">
      <c r="A9" s="145"/>
      <c r="B9" s="230">
        <v>4</v>
      </c>
      <c r="C9" s="231"/>
      <c r="D9" s="231"/>
      <c r="E9" s="231"/>
      <c r="F9" s="240"/>
      <c r="G9" s="248"/>
      <c r="H9" s="220"/>
      <c r="N9" s="145"/>
      <c r="O9" s="250" t="s">
        <v>561</v>
      </c>
      <c r="P9" s="251" t="s">
        <v>561</v>
      </c>
    </row>
    <row r="10" spans="1:16" ht="12.75">
      <c r="A10" s="145"/>
      <c r="B10" s="230">
        <v>5</v>
      </c>
      <c r="C10" s="231"/>
      <c r="D10" s="231"/>
      <c r="E10" s="231"/>
      <c r="F10" s="240"/>
      <c r="G10" s="236" t="s">
        <v>561</v>
      </c>
      <c r="H10" s="220"/>
      <c r="N10" s="145"/>
      <c r="O10" s="238"/>
      <c r="P10" s="239"/>
    </row>
    <row r="11" spans="1:16" ht="12.75">
      <c r="A11" s="145"/>
      <c r="B11" s="230">
        <v>6</v>
      </c>
      <c r="C11" s="231"/>
      <c r="D11" s="231"/>
      <c r="E11" s="231"/>
      <c r="F11" s="233"/>
      <c r="G11" s="248"/>
      <c r="H11" s="220"/>
      <c r="N11" s="145"/>
      <c r="O11" s="250" t="s">
        <v>561</v>
      </c>
      <c r="P11" s="251" t="s">
        <v>561</v>
      </c>
    </row>
    <row r="12" spans="1:16" ht="12.75">
      <c r="A12" s="145"/>
      <c r="B12" s="230">
        <v>7</v>
      </c>
      <c r="C12" s="231"/>
      <c r="D12" s="231"/>
      <c r="E12" s="231"/>
      <c r="F12" s="240"/>
      <c r="G12" s="248"/>
      <c r="H12" s="220"/>
      <c r="I12" s="130"/>
      <c r="J12" s="130"/>
      <c r="K12" s="130"/>
      <c r="L12" s="130"/>
      <c r="M12" s="130"/>
      <c r="N12" s="145"/>
      <c r="O12" s="238"/>
      <c r="P12" s="239"/>
    </row>
    <row r="13" spans="1:16" ht="17.25" customHeight="1">
      <c r="A13" s="145"/>
      <c r="B13" s="240"/>
      <c r="C13" s="231"/>
      <c r="D13" s="231"/>
      <c r="E13" s="231"/>
      <c r="F13" s="240"/>
      <c r="G13" s="248"/>
      <c r="H13" s="238"/>
      <c r="I13" s="253"/>
      <c r="J13" s="148" t="s">
        <v>396</v>
      </c>
      <c r="K13" s="255" t="s">
        <v>759</v>
      </c>
      <c r="L13" s="257" t="s">
        <v>763</v>
      </c>
      <c r="M13" s="258" t="s">
        <v>145</v>
      </c>
      <c r="N13" s="238"/>
      <c r="O13" s="250" t="s">
        <v>561</v>
      </c>
      <c r="P13" s="251" t="s">
        <v>561</v>
      </c>
    </row>
    <row r="14" spans="1:16" ht="15" customHeight="1">
      <c r="A14" s="145"/>
      <c r="B14" s="240"/>
      <c r="C14" s="231"/>
      <c r="D14" s="231"/>
      <c r="E14" s="231"/>
      <c r="F14" s="240"/>
      <c r="G14" s="248"/>
      <c r="H14" s="238"/>
      <c r="I14" s="260"/>
      <c r="J14" s="262" t="s">
        <v>769</v>
      </c>
      <c r="K14" s="263"/>
      <c r="L14" s="264"/>
      <c r="M14" s="265"/>
      <c r="N14" s="238"/>
      <c r="O14" s="238"/>
      <c r="P14" s="239"/>
    </row>
    <row r="15" spans="1:16" ht="15" customHeight="1">
      <c r="A15" s="145"/>
      <c r="B15" s="240"/>
      <c r="C15" s="231"/>
      <c r="D15" s="231"/>
      <c r="E15" s="231"/>
      <c r="F15" s="240"/>
      <c r="G15" s="248"/>
      <c r="H15" s="238"/>
      <c r="I15" s="266">
        <v>1</v>
      </c>
      <c r="J15" s="267"/>
      <c r="K15" s="267"/>
      <c r="L15" s="268"/>
      <c r="M15" s="281"/>
      <c r="N15" s="238"/>
      <c r="O15" s="238"/>
      <c r="P15" s="239"/>
    </row>
    <row r="16" spans="1:16" ht="15" customHeight="1">
      <c r="A16" s="145"/>
      <c r="B16" s="240"/>
      <c r="C16" s="231"/>
      <c r="D16" s="231"/>
      <c r="E16" s="231"/>
      <c r="F16" s="240"/>
      <c r="G16" s="248"/>
      <c r="H16" s="238"/>
      <c r="I16" s="266">
        <v>2</v>
      </c>
      <c r="J16" s="267"/>
      <c r="K16" s="267"/>
      <c r="L16" s="268"/>
      <c r="M16" s="281"/>
      <c r="N16" s="238"/>
      <c r="O16" s="238"/>
      <c r="P16" s="239"/>
    </row>
    <row r="17" spans="1:16" ht="15" customHeight="1">
      <c r="A17" s="145"/>
      <c r="B17" s="240"/>
      <c r="C17" s="231"/>
      <c r="D17" s="231"/>
      <c r="E17" s="231"/>
      <c r="F17" s="240"/>
      <c r="G17" s="248"/>
      <c r="H17" s="238"/>
      <c r="I17" s="266">
        <v>3</v>
      </c>
      <c r="J17" s="267"/>
      <c r="K17" s="267"/>
      <c r="L17" s="268"/>
      <c r="M17" s="281"/>
      <c r="N17" s="238"/>
      <c r="O17" s="238"/>
      <c r="P17" s="239"/>
    </row>
    <row r="18" spans="1:16" ht="15" customHeight="1">
      <c r="A18" s="145"/>
      <c r="B18" s="240"/>
      <c r="C18" s="231"/>
      <c r="D18" s="231"/>
      <c r="E18" s="231"/>
      <c r="F18" s="240"/>
      <c r="G18" s="248"/>
      <c r="H18" s="238"/>
      <c r="I18" s="266">
        <v>4</v>
      </c>
      <c r="J18" s="267"/>
      <c r="K18" s="267"/>
      <c r="L18" s="268"/>
      <c r="M18" s="281"/>
      <c r="N18" s="238"/>
      <c r="O18" s="238"/>
      <c r="P18" s="239"/>
    </row>
    <row r="19" spans="1:16" ht="15" customHeight="1">
      <c r="A19" s="145"/>
      <c r="B19" s="240"/>
      <c r="C19" s="231"/>
      <c r="D19" s="231"/>
      <c r="E19" s="231"/>
      <c r="F19" s="240"/>
      <c r="G19" s="248"/>
      <c r="H19" s="238"/>
      <c r="I19" s="266">
        <v>5</v>
      </c>
      <c r="J19" s="267"/>
      <c r="K19" s="267"/>
      <c r="L19" s="268"/>
      <c r="M19" s="281"/>
      <c r="N19" s="238"/>
      <c r="O19" s="238"/>
      <c r="P19" s="239"/>
    </row>
    <row r="20" spans="1:16" ht="15" customHeight="1">
      <c r="A20" s="145"/>
      <c r="B20" s="240"/>
      <c r="C20" s="231"/>
      <c r="D20" s="231"/>
      <c r="E20" s="231"/>
      <c r="F20" s="240"/>
      <c r="G20" s="248"/>
      <c r="H20" s="238"/>
      <c r="I20" s="266">
        <v>6</v>
      </c>
      <c r="J20" s="267"/>
      <c r="K20" s="267"/>
      <c r="L20" s="283"/>
      <c r="M20" s="281"/>
      <c r="N20" s="238"/>
      <c r="O20" s="238"/>
      <c r="P20" s="239"/>
    </row>
    <row r="21" spans="1:16" ht="15" customHeight="1">
      <c r="A21" s="145"/>
      <c r="B21" s="240"/>
      <c r="C21" s="231"/>
      <c r="D21" s="231"/>
      <c r="E21" s="231"/>
      <c r="F21" s="240"/>
      <c r="G21" s="248"/>
      <c r="H21" s="238"/>
      <c r="I21" s="266">
        <v>7</v>
      </c>
      <c r="J21" s="267"/>
      <c r="K21" s="267"/>
      <c r="L21" s="268"/>
      <c r="M21" s="281"/>
      <c r="N21" s="238"/>
      <c r="O21" s="238"/>
      <c r="P21" s="239"/>
    </row>
    <row r="22" spans="1:16" ht="15" customHeight="1">
      <c r="A22" s="145"/>
      <c r="B22" s="240"/>
      <c r="C22" s="231"/>
      <c r="D22" s="231"/>
      <c r="E22" s="231"/>
      <c r="F22" s="240"/>
      <c r="G22" s="248"/>
      <c r="H22" s="238"/>
      <c r="I22" s="285"/>
      <c r="J22" s="287" t="s">
        <v>801</v>
      </c>
      <c r="K22" s="288"/>
      <c r="L22" s="268"/>
      <c r="M22" s="281"/>
      <c r="N22" s="238"/>
      <c r="O22" s="238"/>
      <c r="P22" s="239"/>
    </row>
    <row r="23" spans="1:16" ht="15" customHeight="1">
      <c r="A23" s="145"/>
      <c r="B23" s="240"/>
      <c r="C23" s="231"/>
      <c r="D23" s="231"/>
      <c r="E23" s="231"/>
      <c r="F23" s="240"/>
      <c r="G23" s="248"/>
      <c r="H23" s="238"/>
      <c r="I23" s="266">
        <v>8</v>
      </c>
      <c r="J23" s="267"/>
      <c r="K23" s="267"/>
      <c r="L23" s="268"/>
      <c r="M23" s="281"/>
      <c r="N23" s="238"/>
      <c r="O23" s="238"/>
      <c r="P23" s="239"/>
    </row>
    <row r="24" spans="1:16" ht="15" customHeight="1">
      <c r="A24" s="145"/>
      <c r="B24" s="240"/>
      <c r="C24" s="231"/>
      <c r="D24" s="231"/>
      <c r="E24" s="231"/>
      <c r="F24" s="240"/>
      <c r="G24" s="248"/>
      <c r="H24" s="238"/>
      <c r="I24" s="266">
        <v>9</v>
      </c>
      <c r="J24" s="267"/>
      <c r="K24" s="267"/>
      <c r="L24" s="268"/>
      <c r="M24" s="281"/>
      <c r="N24" s="238"/>
      <c r="O24" s="238"/>
      <c r="P24" s="239"/>
    </row>
    <row r="25" spans="1:16" ht="15" customHeight="1">
      <c r="A25" s="145"/>
      <c r="B25" s="240"/>
      <c r="C25" s="231"/>
      <c r="D25" s="231"/>
      <c r="E25" s="231"/>
      <c r="F25" s="240"/>
      <c r="G25" s="248"/>
      <c r="H25" s="238"/>
      <c r="I25" s="266">
        <v>10</v>
      </c>
      <c r="J25" s="267"/>
      <c r="K25" s="267"/>
      <c r="L25" s="268"/>
      <c r="M25" s="281"/>
      <c r="N25" s="238"/>
      <c r="O25" s="238"/>
      <c r="P25" s="239"/>
    </row>
    <row r="26" spans="1:16" ht="15" customHeight="1">
      <c r="A26" s="145"/>
      <c r="B26" s="240"/>
      <c r="C26" s="231"/>
      <c r="D26" s="231"/>
      <c r="E26" s="231"/>
      <c r="F26" s="240"/>
      <c r="G26" s="248"/>
      <c r="H26" s="238"/>
      <c r="I26" s="266">
        <v>11</v>
      </c>
      <c r="J26" s="267"/>
      <c r="K26" s="267"/>
      <c r="L26" s="268"/>
      <c r="M26" s="281"/>
      <c r="N26" s="238"/>
      <c r="O26" s="238"/>
      <c r="P26" s="239"/>
    </row>
    <row r="27" spans="1:16" ht="15" customHeight="1">
      <c r="A27" s="145"/>
      <c r="B27" s="240"/>
      <c r="C27" s="231"/>
      <c r="D27" s="231"/>
      <c r="E27" s="231"/>
      <c r="F27" s="240"/>
      <c r="G27" s="248"/>
      <c r="H27" s="238"/>
      <c r="I27" s="266">
        <v>12</v>
      </c>
      <c r="J27" s="267"/>
      <c r="K27" s="267"/>
      <c r="L27" s="268"/>
      <c r="M27" s="281"/>
      <c r="N27" s="238"/>
      <c r="O27" s="238"/>
      <c r="P27" s="239"/>
    </row>
    <row r="28" spans="1:16" ht="15" customHeight="1">
      <c r="A28" s="145"/>
      <c r="B28" s="240"/>
      <c r="C28" s="231"/>
      <c r="D28" s="231"/>
      <c r="E28" s="231"/>
      <c r="F28" s="240"/>
      <c r="G28" s="248"/>
      <c r="H28" s="238"/>
      <c r="I28" s="266">
        <v>13</v>
      </c>
      <c r="J28" s="267"/>
      <c r="K28" s="267"/>
      <c r="L28" s="268"/>
      <c r="M28" s="281"/>
      <c r="N28" s="238"/>
      <c r="O28" s="238"/>
      <c r="P28" s="239"/>
    </row>
    <row r="29" spans="1:16" ht="15" customHeight="1">
      <c r="A29" s="145"/>
      <c r="B29" s="240"/>
      <c r="C29" s="231"/>
      <c r="D29" s="231"/>
      <c r="E29" s="231"/>
      <c r="F29" s="240"/>
      <c r="G29" s="248"/>
      <c r="H29" s="238"/>
      <c r="I29" s="266">
        <v>14</v>
      </c>
      <c r="J29" s="267"/>
      <c r="K29" s="267"/>
      <c r="L29" s="268"/>
      <c r="M29" s="281"/>
      <c r="N29" s="238"/>
      <c r="O29" s="238"/>
      <c r="P29" s="239"/>
    </row>
    <row r="30" spans="1:16" ht="15" customHeight="1">
      <c r="A30" s="145"/>
      <c r="B30" s="240"/>
      <c r="C30" s="231"/>
      <c r="D30" s="231"/>
      <c r="E30" s="231"/>
      <c r="F30" s="240"/>
      <c r="G30" s="248"/>
      <c r="H30" s="238"/>
      <c r="I30" s="266">
        <v>15</v>
      </c>
      <c r="J30" s="289"/>
      <c r="K30" s="289"/>
      <c r="L30" s="268"/>
      <c r="M30" s="281"/>
      <c r="N30" s="238"/>
      <c r="O30" s="238"/>
      <c r="P30" s="239"/>
    </row>
    <row r="31" spans="1:16" ht="15" customHeight="1">
      <c r="A31" s="145"/>
      <c r="B31" s="240"/>
      <c r="C31" s="231"/>
      <c r="D31" s="231"/>
      <c r="E31" s="231"/>
      <c r="F31" s="240"/>
      <c r="G31" s="248"/>
      <c r="H31" s="238"/>
      <c r="I31" s="290"/>
      <c r="J31" s="267"/>
      <c r="K31" s="267"/>
      <c r="L31" s="268"/>
      <c r="M31" s="281"/>
      <c r="N31" s="238"/>
      <c r="O31" s="250" t="s">
        <v>561</v>
      </c>
      <c r="P31" s="251" t="s">
        <v>561</v>
      </c>
    </row>
    <row r="32" spans="1:16" ht="15" customHeight="1">
      <c r="A32" s="145"/>
      <c r="B32" s="240"/>
      <c r="C32" s="231"/>
      <c r="D32" s="231"/>
      <c r="E32" s="231"/>
      <c r="F32" s="240"/>
      <c r="G32" s="291"/>
      <c r="H32" s="238"/>
      <c r="I32" s="290"/>
      <c r="J32" s="267"/>
      <c r="K32" s="267"/>
      <c r="L32" s="268"/>
      <c r="M32" s="281"/>
      <c r="N32" s="238"/>
      <c r="O32" s="250" t="s">
        <v>561</v>
      </c>
      <c r="P32" s="251" t="s">
        <v>561</v>
      </c>
    </row>
    <row r="33" spans="1:16" ht="15" customHeight="1">
      <c r="A33" s="145"/>
      <c r="B33" s="240"/>
      <c r="C33" s="231"/>
      <c r="D33" s="231"/>
      <c r="E33" s="231"/>
      <c r="F33" s="240"/>
      <c r="G33" s="248"/>
      <c r="H33" s="238"/>
      <c r="I33" s="290"/>
      <c r="J33" s="267"/>
      <c r="K33" s="267"/>
      <c r="L33" s="268"/>
      <c r="M33" s="281"/>
      <c r="N33" s="238"/>
      <c r="O33" s="250" t="s">
        <v>561</v>
      </c>
      <c r="P33" s="251" t="s">
        <v>561</v>
      </c>
    </row>
    <row r="34" spans="1:16" ht="15" customHeight="1">
      <c r="A34" s="145"/>
      <c r="B34" s="240"/>
      <c r="C34" s="231"/>
      <c r="D34" s="231"/>
      <c r="E34" s="231"/>
      <c r="F34" s="240"/>
      <c r="G34" s="248"/>
      <c r="H34" s="238"/>
      <c r="I34" s="266">
        <v>16</v>
      </c>
      <c r="J34" s="287" t="s">
        <v>802</v>
      </c>
      <c r="K34" s="288"/>
      <c r="L34" s="268"/>
      <c r="M34" s="281"/>
      <c r="N34" s="238"/>
      <c r="O34" s="238"/>
      <c r="P34" s="239"/>
    </row>
    <row r="35" spans="1:16" ht="15" customHeight="1">
      <c r="A35" s="145"/>
      <c r="B35" s="240"/>
      <c r="C35" s="231"/>
      <c r="D35" s="231"/>
      <c r="E35" s="231"/>
      <c r="F35" s="240"/>
      <c r="G35" s="292"/>
      <c r="H35" s="238"/>
      <c r="I35" s="266">
        <v>17</v>
      </c>
      <c r="J35" s="267"/>
      <c r="K35" s="267"/>
      <c r="L35" s="268"/>
      <c r="M35" s="281"/>
      <c r="N35" s="238"/>
      <c r="O35" s="250" t="s">
        <v>561</v>
      </c>
      <c r="P35" s="251" t="s">
        <v>561</v>
      </c>
    </row>
    <row r="36" spans="1:16" ht="15" customHeight="1">
      <c r="A36" s="145"/>
      <c r="B36" s="240"/>
      <c r="C36" s="231"/>
      <c r="D36" s="231"/>
      <c r="E36" s="231"/>
      <c r="F36" s="240"/>
      <c r="G36" s="292"/>
      <c r="H36" s="238"/>
      <c r="I36" s="266">
        <v>18</v>
      </c>
      <c r="J36" s="267"/>
      <c r="K36" s="267"/>
      <c r="L36" s="268"/>
      <c r="M36" s="281"/>
      <c r="N36" s="238"/>
      <c r="O36" s="238"/>
      <c r="P36" s="239"/>
    </row>
    <row r="37" spans="1:16" ht="15" customHeight="1">
      <c r="A37" s="145"/>
      <c r="B37" s="240"/>
      <c r="C37" s="231"/>
      <c r="D37" s="231"/>
      <c r="E37" s="231"/>
      <c r="F37" s="240"/>
      <c r="G37" s="292"/>
      <c r="H37" s="238"/>
      <c r="I37" s="266">
        <v>19</v>
      </c>
      <c r="J37" s="267"/>
      <c r="K37" s="267"/>
      <c r="L37" s="268"/>
      <c r="M37" s="281"/>
      <c r="N37" s="238"/>
      <c r="O37" s="238"/>
      <c r="P37" s="239"/>
    </row>
    <row r="38" spans="1:16" ht="15" customHeight="1">
      <c r="A38" s="145"/>
      <c r="B38" s="240"/>
      <c r="C38" s="231"/>
      <c r="D38" s="231"/>
      <c r="E38" s="231"/>
      <c r="F38" s="240"/>
      <c r="G38" s="292"/>
      <c r="H38" s="238"/>
      <c r="I38" s="266">
        <v>20</v>
      </c>
      <c r="J38" s="267"/>
      <c r="K38" s="267"/>
      <c r="L38" s="268"/>
      <c r="M38" s="281"/>
      <c r="N38" s="238"/>
      <c r="O38" s="238"/>
      <c r="P38" s="239"/>
    </row>
    <row r="39" spans="1:16" ht="15" customHeight="1">
      <c r="A39" s="145"/>
      <c r="B39" s="293"/>
      <c r="C39" s="294"/>
      <c r="D39" s="294"/>
      <c r="E39" s="294"/>
      <c r="F39" s="293"/>
      <c r="G39" s="295"/>
      <c r="H39" s="238"/>
      <c r="I39" s="266">
        <v>21</v>
      </c>
      <c r="J39" s="267"/>
      <c r="K39" s="267"/>
      <c r="L39" s="268"/>
      <c r="M39" s="281"/>
      <c r="N39" s="238"/>
      <c r="O39" s="238"/>
      <c r="P39" s="239"/>
    </row>
    <row r="40" spans="2:16" ht="15" customHeight="1">
      <c r="B40" s="296"/>
      <c r="C40" s="296"/>
      <c r="D40" s="296"/>
      <c r="E40" s="296"/>
      <c r="F40" s="296"/>
      <c r="G40" s="296"/>
      <c r="H40" s="145"/>
      <c r="I40" s="266">
        <v>22</v>
      </c>
      <c r="J40" s="267"/>
      <c r="K40" s="267"/>
      <c r="L40" s="268"/>
      <c r="M40" s="281"/>
      <c r="N40" s="238"/>
      <c r="O40" s="238"/>
      <c r="P40" s="239"/>
    </row>
    <row r="41" spans="8:16" ht="15" customHeight="1">
      <c r="H41" s="145"/>
      <c r="I41" s="266">
        <v>23</v>
      </c>
      <c r="J41" s="238"/>
      <c r="K41" s="238"/>
      <c r="L41" s="297"/>
      <c r="M41" s="281"/>
      <c r="N41" s="238"/>
      <c r="O41" s="250" t="s">
        <v>561</v>
      </c>
      <c r="P41" s="251" t="s">
        <v>561</v>
      </c>
    </row>
    <row r="42" spans="8:16" ht="15" customHeight="1">
      <c r="H42" s="145"/>
      <c r="I42" s="266">
        <v>24</v>
      </c>
      <c r="J42" s="238"/>
      <c r="K42" s="238"/>
      <c r="L42" s="297"/>
      <c r="M42" s="281"/>
      <c r="N42" s="238"/>
      <c r="O42" s="250" t="s">
        <v>561</v>
      </c>
      <c r="P42" s="239"/>
    </row>
    <row r="43" spans="8:16" ht="15" customHeight="1">
      <c r="H43" s="145"/>
      <c r="I43" s="266">
        <v>25</v>
      </c>
      <c r="J43" s="238"/>
      <c r="K43" s="238"/>
      <c r="L43" s="297"/>
      <c r="M43" s="281"/>
      <c r="N43" s="238"/>
      <c r="O43" s="238"/>
      <c r="P43" s="239"/>
    </row>
    <row r="44" spans="8:16" ht="15" customHeight="1">
      <c r="H44" s="145"/>
      <c r="I44" s="266">
        <v>26</v>
      </c>
      <c r="J44" s="238"/>
      <c r="K44" s="238"/>
      <c r="L44" s="297"/>
      <c r="M44" s="281"/>
      <c r="N44" s="238"/>
      <c r="O44" s="238"/>
      <c r="P44" s="239"/>
    </row>
    <row r="45" spans="8:16" ht="15" customHeight="1">
      <c r="H45" s="145"/>
      <c r="I45" s="266">
        <v>27</v>
      </c>
      <c r="J45" s="238"/>
      <c r="K45" s="238"/>
      <c r="L45" s="297"/>
      <c r="M45" s="281"/>
      <c r="N45" s="238"/>
      <c r="O45" s="238"/>
      <c r="P45" s="239"/>
    </row>
    <row r="46" spans="8:16" ht="15" customHeight="1">
      <c r="H46" s="145"/>
      <c r="I46" s="298"/>
      <c r="J46" s="238"/>
      <c r="K46" s="238"/>
      <c r="L46" s="297"/>
      <c r="M46" s="281"/>
      <c r="N46" s="238"/>
      <c r="O46" s="238"/>
      <c r="P46" s="239"/>
    </row>
    <row r="47" spans="2:16" ht="15" customHeight="1">
      <c r="B47" s="130"/>
      <c r="C47" s="130"/>
      <c r="D47" s="130"/>
      <c r="E47" s="130"/>
      <c r="F47" s="130"/>
      <c r="G47" s="130"/>
      <c r="H47" s="145"/>
      <c r="I47" s="298"/>
      <c r="J47" s="238"/>
      <c r="K47" s="238"/>
      <c r="L47" s="297"/>
      <c r="M47" s="281"/>
      <c r="N47" s="238"/>
      <c r="O47" s="238"/>
      <c r="P47" s="239"/>
    </row>
    <row r="48" spans="1:16" ht="17.25" customHeight="1">
      <c r="A48" s="145"/>
      <c r="B48" s="253"/>
      <c r="C48" s="257" t="s">
        <v>808</v>
      </c>
      <c r="D48" s="299"/>
      <c r="E48" s="299"/>
      <c r="F48" s="300"/>
      <c r="G48" s="199" t="s">
        <v>145</v>
      </c>
      <c r="H48" s="238"/>
      <c r="I48" s="298"/>
      <c r="J48" s="238"/>
      <c r="K48" s="238"/>
      <c r="L48" s="297"/>
      <c r="M48" s="281"/>
      <c r="N48" s="238"/>
      <c r="O48" s="238"/>
      <c r="P48" s="239"/>
    </row>
    <row r="49" spans="1:16" ht="15" customHeight="1">
      <c r="A49" s="145"/>
      <c r="B49" s="301"/>
      <c r="C49" s="302"/>
      <c r="D49" s="302"/>
      <c r="E49" s="302"/>
      <c r="F49" s="301"/>
      <c r="G49" s="229"/>
      <c r="H49" s="238"/>
      <c r="I49" s="303" t="s">
        <v>561</v>
      </c>
      <c r="J49" s="304"/>
      <c r="K49" s="304"/>
      <c r="L49" s="305"/>
      <c r="M49" s="306"/>
      <c r="N49" s="238"/>
      <c r="O49" s="304"/>
      <c r="P49" s="307"/>
    </row>
    <row r="50" spans="1:16" ht="12" customHeight="1">
      <c r="A50" s="145"/>
      <c r="B50" s="298"/>
      <c r="C50" s="250" t="s">
        <v>561</v>
      </c>
      <c r="D50" s="238"/>
      <c r="E50" s="238"/>
      <c r="F50" s="298"/>
      <c r="G50" s="239"/>
      <c r="H50" s="220"/>
      <c r="I50" s="296"/>
      <c r="J50" s="296"/>
      <c r="K50" s="296"/>
      <c r="L50" s="296"/>
      <c r="M50" s="296"/>
      <c r="O50" s="296"/>
      <c r="P50" s="296"/>
    </row>
    <row r="51" spans="1:8" ht="12" customHeight="1">
      <c r="A51" s="145"/>
      <c r="B51" s="298"/>
      <c r="C51" s="238"/>
      <c r="D51" s="238"/>
      <c r="E51" s="238"/>
      <c r="F51" s="298"/>
      <c r="G51" s="239"/>
      <c r="H51" s="220"/>
    </row>
    <row r="52" spans="1:13" ht="12" customHeight="1">
      <c r="A52" s="145"/>
      <c r="B52" s="298"/>
      <c r="C52" s="238"/>
      <c r="D52" s="238"/>
      <c r="E52" s="238"/>
      <c r="F52" s="298"/>
      <c r="G52" s="239"/>
      <c r="H52" s="220"/>
      <c r="I52" s="130"/>
      <c r="J52" s="130"/>
      <c r="K52" s="130"/>
      <c r="L52" s="130"/>
      <c r="M52" s="130"/>
    </row>
    <row r="53" spans="1:14" ht="17.25" customHeight="1">
      <c r="A53" s="145"/>
      <c r="B53" s="308"/>
      <c r="C53" s="304"/>
      <c r="D53" s="304"/>
      <c r="E53" s="304"/>
      <c r="F53" s="308"/>
      <c r="G53" s="307"/>
      <c r="H53" s="238"/>
      <c r="I53" s="253"/>
      <c r="J53" s="257" t="s">
        <v>809</v>
      </c>
      <c r="K53" s="299"/>
      <c r="L53" s="300"/>
      <c r="M53" s="199" t="s">
        <v>145</v>
      </c>
      <c r="N53" s="220"/>
    </row>
    <row r="54" spans="2:14" ht="12" customHeight="1">
      <c r="B54" s="296"/>
      <c r="C54" s="296"/>
      <c r="D54" s="296"/>
      <c r="E54" s="296"/>
      <c r="F54" s="296"/>
      <c r="G54" s="296"/>
      <c r="H54" s="145"/>
      <c r="I54" s="301"/>
      <c r="J54" s="309"/>
      <c r="K54" s="310"/>
      <c r="L54" s="311"/>
      <c r="M54" s="229"/>
      <c r="N54" s="220"/>
    </row>
    <row r="55" spans="8:14" ht="12" customHeight="1">
      <c r="H55" s="145"/>
      <c r="I55" s="298"/>
      <c r="J55" s="312"/>
      <c r="K55" s="312"/>
      <c r="L55" s="298"/>
      <c r="M55" s="239"/>
      <c r="N55" s="220"/>
    </row>
    <row r="56" spans="8:14" ht="12" customHeight="1">
      <c r="H56" s="145"/>
      <c r="I56" s="298"/>
      <c r="J56" s="312"/>
      <c r="K56" s="312"/>
      <c r="L56" s="298"/>
      <c r="M56" s="239"/>
      <c r="N56" s="220"/>
    </row>
    <row r="57" spans="8:14" ht="12" customHeight="1">
      <c r="H57" s="145"/>
      <c r="I57" s="298"/>
      <c r="J57" s="312"/>
      <c r="K57" s="312"/>
      <c r="L57" s="298"/>
      <c r="M57" s="239"/>
      <c r="N57" s="220"/>
    </row>
    <row r="58" spans="8:14" ht="12" customHeight="1">
      <c r="H58" s="145"/>
      <c r="I58" s="303" t="s">
        <v>561</v>
      </c>
      <c r="J58" s="313"/>
      <c r="K58" s="79"/>
      <c r="L58" s="314"/>
      <c r="M58" s="307"/>
      <c r="N58" s="220"/>
    </row>
  </sheetData>
  <mergeCells count="2">
    <mergeCell ref="B2:C2"/>
    <mergeCell ref="B3:C3"/>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A1"/>
  <sheetViews>
    <sheetView showGridLines="0" workbookViewId="0" topLeftCell="A1"/>
  </sheetViews>
  <sheetFormatPr defaultColWidth="14.421875" defaultRowHeight="12.75" customHeight="1"/>
  <cols>
    <col min="1" max="2" width="10.28125" style="0" hidden="1" customWidth="1"/>
    <col min="3" max="6" width="10.28125" style="0" customWidth="1"/>
  </cols>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U41"/>
  <sheetViews>
    <sheetView workbookViewId="0" topLeftCell="A1">
      <pane xSplit="3" ySplit="2" topLeftCell="D3" activePane="bottomRight" state="frozen"/>
      <selection pane="topRight" activeCell="D1" sqref="D1"/>
      <selection pane="bottomLeft" activeCell="A3" sqref="A3"/>
      <selection pane="bottomRight" activeCell="D3" sqref="D3"/>
    </sheetView>
  </sheetViews>
  <sheetFormatPr defaultColWidth="14.421875" defaultRowHeight="12.75" customHeight="1"/>
  <cols>
    <col min="1" max="1" width="17.28125" style="0" customWidth="1"/>
    <col min="2" max="2" width="24.8515625" style="0" customWidth="1"/>
    <col min="3" max="3" width="12.57421875" style="0" customWidth="1"/>
    <col min="4" max="16" width="8.00390625" style="0" customWidth="1"/>
    <col min="17" max="17" width="7.28125" style="0" customWidth="1"/>
    <col min="18" max="18" width="7.57421875" style="0" customWidth="1"/>
    <col min="19" max="19" width="7.421875" style="0" customWidth="1"/>
    <col min="20" max="20" width="9.140625" style="0" customWidth="1"/>
    <col min="21" max="21" width="8.57421875" style="0" customWidth="1"/>
  </cols>
  <sheetData>
    <row r="1" spans="2:4" ht="12.75">
      <c r="B1" s="16"/>
      <c r="D1" s="63" t="s">
        <v>6</v>
      </c>
    </row>
    <row r="2" spans="1:21" ht="12.75">
      <c r="A2" s="13" t="s">
        <v>4</v>
      </c>
      <c r="B2" s="13" t="s">
        <v>18</v>
      </c>
      <c r="C2" s="13" t="s">
        <v>138</v>
      </c>
      <c r="D2" s="65">
        <v>41075</v>
      </c>
      <c r="E2" s="68" t="str">
        <f aca="true" t="shared" si="0" ref="E2:U2">D2+7</f>
        <v>6/22</v>
      </c>
      <c r="F2" s="68" t="str">
        <f t="shared" si="0"/>
        <v>6/29</v>
      </c>
      <c r="G2" s="68" t="str">
        <f t="shared" si="0"/>
        <v>7/6</v>
      </c>
      <c r="H2" s="68" t="str">
        <f t="shared" si="0"/>
        <v>7/13</v>
      </c>
      <c r="I2" s="68" t="str">
        <f t="shared" si="0"/>
        <v>7/20</v>
      </c>
      <c r="J2" s="68" t="str">
        <f t="shared" si="0"/>
        <v>7/27</v>
      </c>
      <c r="K2" s="68" t="str">
        <f t="shared" si="0"/>
        <v>8/3</v>
      </c>
      <c r="L2" s="68" t="str">
        <f t="shared" si="0"/>
        <v>8/10</v>
      </c>
      <c r="M2" s="68" t="str">
        <f t="shared" si="0"/>
        <v>8/17</v>
      </c>
      <c r="N2" s="68" t="str">
        <f t="shared" si="0"/>
        <v>8/24</v>
      </c>
      <c r="O2" s="68" t="str">
        <f t="shared" si="0"/>
        <v>8/31</v>
      </c>
      <c r="P2" s="68" t="str">
        <f t="shared" si="0"/>
        <v>9/7</v>
      </c>
      <c r="Q2" s="68" t="str">
        <f t="shared" si="0"/>
        <v>9/14</v>
      </c>
      <c r="R2" s="68" t="str">
        <f t="shared" si="0"/>
        <v>9/21</v>
      </c>
      <c r="S2" s="68" t="str">
        <f t="shared" si="0"/>
        <v>9/28</v>
      </c>
      <c r="T2" s="68" t="str">
        <f t="shared" si="0"/>
        <v>10/5</v>
      </c>
      <c r="U2" s="68" t="str">
        <f t="shared" si="0"/>
        <v>10/12</v>
      </c>
    </row>
    <row r="3" spans="1:16" ht="12.75">
      <c r="A3" s="13" t="s">
        <v>47</v>
      </c>
      <c r="B3" s="13" t="s">
        <v>142</v>
      </c>
      <c r="C3" s="13">
        <v>20</v>
      </c>
      <c r="F3" s="13" t="s">
        <v>227</v>
      </c>
      <c r="G3" s="13" t="s">
        <v>227</v>
      </c>
      <c r="H3" s="13" t="s">
        <v>227</v>
      </c>
      <c r="I3" s="13" t="s">
        <v>227</v>
      </c>
      <c r="J3" s="13" t="s">
        <v>227</v>
      </c>
      <c r="K3" s="13" t="s">
        <v>227</v>
      </c>
      <c r="L3" s="13" t="s">
        <v>227</v>
      </c>
      <c r="M3" s="13" t="s">
        <v>227</v>
      </c>
      <c r="N3" s="13" t="s">
        <v>227</v>
      </c>
      <c r="O3" s="13" t="s">
        <v>227</v>
      </c>
      <c r="P3" s="13" t="s">
        <v>227</v>
      </c>
    </row>
    <row r="4" spans="2:7" ht="12.75">
      <c r="B4" s="13" t="s">
        <v>228</v>
      </c>
      <c r="C4" s="13">
        <v>20</v>
      </c>
      <c r="D4" s="13" t="s">
        <v>227</v>
      </c>
      <c r="E4" s="13" t="s">
        <v>227</v>
      </c>
      <c r="F4" s="13" t="s">
        <v>227</v>
      </c>
      <c r="G4" s="13" t="s">
        <v>227</v>
      </c>
    </row>
    <row r="5" spans="2:16" ht="12.75">
      <c r="B5" s="13" t="s">
        <v>153</v>
      </c>
      <c r="C5" s="13">
        <v>60</v>
      </c>
      <c r="D5" s="13" t="s">
        <v>227</v>
      </c>
      <c r="E5" s="13" t="s">
        <v>227</v>
      </c>
      <c r="F5" s="13" t="s">
        <v>227</v>
      </c>
      <c r="G5" s="13" t="s">
        <v>227</v>
      </c>
      <c r="H5" s="13" t="s">
        <v>227</v>
      </c>
      <c r="I5" s="13" t="s">
        <v>227</v>
      </c>
      <c r="J5" s="13" t="s">
        <v>227</v>
      </c>
      <c r="K5" s="13" t="s">
        <v>227</v>
      </c>
      <c r="L5" s="13" t="s">
        <v>227</v>
      </c>
      <c r="M5" s="13" t="s">
        <v>227</v>
      </c>
      <c r="N5" s="13" t="s">
        <v>227</v>
      </c>
      <c r="O5" s="13" t="s">
        <v>227</v>
      </c>
      <c r="P5" s="13" t="s">
        <v>227</v>
      </c>
    </row>
    <row r="7" spans="1:16" ht="12.75">
      <c r="A7" s="13" t="s">
        <v>52</v>
      </c>
      <c r="B7" s="13" t="s">
        <v>142</v>
      </c>
      <c r="C7" s="13">
        <v>20</v>
      </c>
      <c r="D7" s="13" t="s">
        <v>227</v>
      </c>
      <c r="E7" s="13" t="s">
        <v>227</v>
      </c>
      <c r="F7" s="13" t="s">
        <v>227</v>
      </c>
      <c r="G7" s="13" t="s">
        <v>227</v>
      </c>
      <c r="H7" s="13" t="s">
        <v>227</v>
      </c>
      <c r="I7" s="13" t="s">
        <v>227</v>
      </c>
      <c r="J7" s="13" t="s">
        <v>227</v>
      </c>
      <c r="K7" s="13" t="s">
        <v>227</v>
      </c>
      <c r="L7" s="13" t="s">
        <v>227</v>
      </c>
      <c r="M7" s="13" t="s">
        <v>227</v>
      </c>
      <c r="N7" s="13" t="s">
        <v>227</v>
      </c>
      <c r="O7" s="13" t="s">
        <v>227</v>
      </c>
      <c r="P7" s="13" t="s">
        <v>227</v>
      </c>
    </row>
    <row r="8" spans="2:14" ht="12.75">
      <c r="B8" s="13" t="s">
        <v>232</v>
      </c>
      <c r="C8" s="13">
        <v>20</v>
      </c>
      <c r="D8" s="13" t="s">
        <v>227</v>
      </c>
      <c r="E8" s="13" t="s">
        <v>227</v>
      </c>
      <c r="F8" s="13" t="s">
        <v>227</v>
      </c>
      <c r="G8" s="13" t="s">
        <v>227</v>
      </c>
      <c r="H8" s="13" t="s">
        <v>227</v>
      </c>
      <c r="I8" s="13" t="s">
        <v>227</v>
      </c>
      <c r="J8" s="13" t="s">
        <v>227</v>
      </c>
      <c r="K8" s="13" t="s">
        <v>227</v>
      </c>
      <c r="L8" s="13" t="s">
        <v>227</v>
      </c>
      <c r="M8" s="13" t="s">
        <v>227</v>
      </c>
      <c r="N8" s="13" t="s">
        <v>227</v>
      </c>
    </row>
    <row r="9" spans="2:5" ht="12.75">
      <c r="B9" s="13" t="s">
        <v>234</v>
      </c>
      <c r="C9" s="13">
        <v>10</v>
      </c>
      <c r="D9" s="13" t="s">
        <v>227</v>
      </c>
      <c r="E9" s="13" t="s">
        <v>227</v>
      </c>
    </row>
    <row r="10" spans="2:16" ht="12.75">
      <c r="B10" s="13" t="s">
        <v>57</v>
      </c>
      <c r="C10" s="13">
        <v>50</v>
      </c>
      <c r="G10" s="13" t="s">
        <v>227</v>
      </c>
      <c r="H10" s="13" t="s">
        <v>227</v>
      </c>
      <c r="I10" s="13" t="s">
        <v>227</v>
      </c>
      <c r="J10" s="13" t="s">
        <v>227</v>
      </c>
      <c r="K10" s="13" t="s">
        <v>227</v>
      </c>
      <c r="L10" s="13" t="s">
        <v>227</v>
      </c>
      <c r="M10" s="13" t="s">
        <v>227</v>
      </c>
      <c r="N10" s="13" t="s">
        <v>227</v>
      </c>
      <c r="O10" s="13" t="s">
        <v>227</v>
      </c>
      <c r="P10" s="13" t="s">
        <v>227</v>
      </c>
    </row>
    <row r="12" spans="1:16" ht="12.75">
      <c r="A12" s="13" t="s">
        <v>160</v>
      </c>
      <c r="B12" s="13" t="s">
        <v>142</v>
      </c>
      <c r="C12" s="13">
        <v>10</v>
      </c>
      <c r="D12" s="13" t="s">
        <v>227</v>
      </c>
      <c r="E12" s="13" t="s">
        <v>227</v>
      </c>
      <c r="F12" s="13" t="s">
        <v>227</v>
      </c>
      <c r="G12" s="13" t="s">
        <v>227</v>
      </c>
      <c r="H12" s="13" t="s">
        <v>227</v>
      </c>
      <c r="I12" s="13" t="s">
        <v>227</v>
      </c>
      <c r="J12" s="13" t="s">
        <v>227</v>
      </c>
      <c r="K12" s="13" t="s">
        <v>227</v>
      </c>
      <c r="L12" s="13" t="s">
        <v>227</v>
      </c>
      <c r="M12" s="13" t="s">
        <v>227</v>
      </c>
      <c r="N12" s="13" t="s">
        <v>227</v>
      </c>
      <c r="O12" s="13" t="s">
        <v>227</v>
      </c>
      <c r="P12" s="13" t="s">
        <v>227</v>
      </c>
    </row>
    <row r="13" spans="2:14" ht="12.75">
      <c r="B13" s="13" t="s">
        <v>232</v>
      </c>
      <c r="C13" s="13">
        <v>30</v>
      </c>
      <c r="E13" s="13" t="s">
        <v>227</v>
      </c>
      <c r="F13" s="13" t="s">
        <v>227</v>
      </c>
      <c r="G13" s="13" t="s">
        <v>227</v>
      </c>
      <c r="H13" s="13" t="s">
        <v>227</v>
      </c>
      <c r="I13" s="13" t="s">
        <v>227</v>
      </c>
      <c r="J13" s="13" t="s">
        <v>227</v>
      </c>
      <c r="K13" s="13" t="s">
        <v>227</v>
      </c>
      <c r="L13" s="13" t="s">
        <v>227</v>
      </c>
      <c r="M13" s="13" t="s">
        <v>227</v>
      </c>
      <c r="N13" s="13" t="s">
        <v>227</v>
      </c>
    </row>
    <row r="14" spans="2:16" ht="12.75">
      <c r="B14" s="13" t="s">
        <v>57</v>
      </c>
      <c r="C14" s="13">
        <v>30</v>
      </c>
      <c r="D14" s="13" t="s">
        <v>227</v>
      </c>
      <c r="E14" s="13" t="s">
        <v>227</v>
      </c>
      <c r="F14" s="13" t="s">
        <v>227</v>
      </c>
      <c r="G14" s="13" t="s">
        <v>227</v>
      </c>
      <c r="H14" s="13" t="s">
        <v>227</v>
      </c>
      <c r="I14" s="13" t="s">
        <v>227</v>
      </c>
      <c r="J14" s="13" t="s">
        <v>227</v>
      </c>
      <c r="K14" s="13" t="s">
        <v>227</v>
      </c>
      <c r="L14" s="13" t="s">
        <v>227</v>
      </c>
      <c r="M14" s="13" t="s">
        <v>227</v>
      </c>
      <c r="N14" s="13" t="s">
        <v>227</v>
      </c>
      <c r="O14" s="13" t="s">
        <v>227</v>
      </c>
      <c r="P14" s="13" t="s">
        <v>227</v>
      </c>
    </row>
    <row r="15" spans="2:9" ht="12.75">
      <c r="B15" s="13" t="s">
        <v>170</v>
      </c>
      <c r="C15" s="13">
        <v>20</v>
      </c>
      <c r="F15" s="13" t="s">
        <v>227</v>
      </c>
      <c r="G15" s="13" t="s">
        <v>227</v>
      </c>
      <c r="H15" s="13" t="s">
        <v>227</v>
      </c>
      <c r="I15" s="13" t="s">
        <v>227</v>
      </c>
    </row>
    <row r="16" spans="2:5" ht="12.75">
      <c r="B16" s="13" t="s">
        <v>234</v>
      </c>
      <c r="C16" s="13">
        <v>10</v>
      </c>
      <c r="D16" s="13" t="s">
        <v>227</v>
      </c>
      <c r="E16" s="13" t="s">
        <v>227</v>
      </c>
    </row>
    <row r="18" spans="1:16" ht="12.75">
      <c r="A18" s="13" t="s">
        <v>56</v>
      </c>
      <c r="B18" s="13" t="s">
        <v>142</v>
      </c>
      <c r="C18" s="13">
        <v>15</v>
      </c>
      <c r="D18" s="13" t="s">
        <v>227</v>
      </c>
      <c r="E18" s="13" t="s">
        <v>227</v>
      </c>
      <c r="F18" s="13" t="s">
        <v>227</v>
      </c>
      <c r="G18" s="13" t="s">
        <v>227</v>
      </c>
      <c r="H18" s="13" t="s">
        <v>227</v>
      </c>
      <c r="I18" s="13" t="s">
        <v>227</v>
      </c>
      <c r="J18" s="13" t="s">
        <v>227</v>
      </c>
      <c r="K18" s="13" t="s">
        <v>227</v>
      </c>
      <c r="L18" s="13" t="s">
        <v>227</v>
      </c>
      <c r="M18" s="13" t="s">
        <v>227</v>
      </c>
      <c r="N18" s="13" t="s">
        <v>227</v>
      </c>
      <c r="O18" s="13" t="s">
        <v>227</v>
      </c>
      <c r="P18" s="13" t="s">
        <v>227</v>
      </c>
    </row>
    <row r="19" spans="2:13" ht="12.75">
      <c r="B19" s="13" t="s">
        <v>232</v>
      </c>
      <c r="C19" s="13">
        <v>20</v>
      </c>
      <c r="D19" s="13" t="s">
        <v>227</v>
      </c>
      <c r="E19" s="13" t="s">
        <v>227</v>
      </c>
      <c r="F19" s="13" t="s">
        <v>227</v>
      </c>
      <c r="G19" s="13" t="s">
        <v>227</v>
      </c>
      <c r="H19" s="13" t="s">
        <v>227</v>
      </c>
      <c r="I19" s="13" t="s">
        <v>227</v>
      </c>
      <c r="J19" s="13" t="s">
        <v>227</v>
      </c>
      <c r="K19" s="13" t="s">
        <v>227</v>
      </c>
      <c r="L19" s="13" t="s">
        <v>227</v>
      </c>
      <c r="M19" s="13" t="s">
        <v>227</v>
      </c>
    </row>
    <row r="20" spans="2:4" ht="12.75">
      <c r="B20" s="13" t="s">
        <v>234</v>
      </c>
      <c r="C20" s="13">
        <v>5</v>
      </c>
      <c r="D20" s="13" t="s">
        <v>227</v>
      </c>
    </row>
    <row r="21" spans="2:16" ht="12.75">
      <c r="B21" s="13" t="s">
        <v>57</v>
      </c>
      <c r="C21" s="13">
        <v>20</v>
      </c>
      <c r="N21" s="13" t="s">
        <v>227</v>
      </c>
      <c r="O21" s="13" t="s">
        <v>227</v>
      </c>
      <c r="P21" s="13" t="s">
        <v>227</v>
      </c>
    </row>
    <row r="22" spans="2:16" ht="12.75">
      <c r="B22" s="13" t="s">
        <v>183</v>
      </c>
      <c r="C22" s="13">
        <v>40</v>
      </c>
      <c r="F22" s="13" t="s">
        <v>227</v>
      </c>
      <c r="G22" s="13" t="s">
        <v>227</v>
      </c>
      <c r="H22" s="13" t="s">
        <v>227</v>
      </c>
      <c r="I22" s="13" t="s">
        <v>227</v>
      </c>
      <c r="J22" s="13" t="s">
        <v>227</v>
      </c>
      <c r="K22" s="13" t="s">
        <v>227</v>
      </c>
      <c r="L22" s="13" t="s">
        <v>227</v>
      </c>
      <c r="M22" s="13" t="s">
        <v>227</v>
      </c>
      <c r="N22" s="13" t="s">
        <v>227</v>
      </c>
      <c r="O22" s="13" t="s">
        <v>227</v>
      </c>
      <c r="P22" s="13" t="s">
        <v>227</v>
      </c>
    </row>
    <row r="24" spans="1:16" ht="12.75">
      <c r="A24" s="13" t="s">
        <v>59</v>
      </c>
      <c r="B24" s="13" t="s">
        <v>142</v>
      </c>
      <c r="C24" s="13">
        <v>40</v>
      </c>
      <c r="D24" s="13" t="s">
        <v>227</v>
      </c>
      <c r="E24" s="13" t="s">
        <v>227</v>
      </c>
      <c r="F24" s="13" t="s">
        <v>227</v>
      </c>
      <c r="G24" s="13" t="s">
        <v>227</v>
      </c>
      <c r="H24" s="13" t="s">
        <v>227</v>
      </c>
      <c r="I24" s="13" t="s">
        <v>227</v>
      </c>
      <c r="J24" s="13" t="s">
        <v>227</v>
      </c>
      <c r="K24" s="13" t="s">
        <v>227</v>
      </c>
      <c r="L24" s="13" t="s">
        <v>227</v>
      </c>
      <c r="M24" s="13" t="s">
        <v>227</v>
      </c>
      <c r="N24" s="13" t="s">
        <v>227</v>
      </c>
      <c r="O24" s="13" t="s">
        <v>227</v>
      </c>
      <c r="P24" s="13" t="s">
        <v>227</v>
      </c>
    </row>
    <row r="25" spans="2:16" ht="12.75">
      <c r="B25" s="13" t="s">
        <v>232</v>
      </c>
      <c r="C25" s="13">
        <v>40</v>
      </c>
      <c r="G25" s="13" t="s">
        <v>227</v>
      </c>
      <c r="H25" s="13" t="s">
        <v>227</v>
      </c>
      <c r="I25" s="13" t="s">
        <v>227</v>
      </c>
      <c r="J25" s="13" t="s">
        <v>227</v>
      </c>
      <c r="K25" s="13" t="s">
        <v>227</v>
      </c>
      <c r="L25" s="13" t="s">
        <v>227</v>
      </c>
      <c r="M25" s="13" t="s">
        <v>227</v>
      </c>
      <c r="N25" s="13" t="s">
        <v>227</v>
      </c>
      <c r="O25" s="13" t="s">
        <v>227</v>
      </c>
      <c r="P25" s="13" t="s">
        <v>227</v>
      </c>
    </row>
    <row r="26" spans="2:6" ht="12.75">
      <c r="B26" s="13" t="s">
        <v>234</v>
      </c>
      <c r="C26" s="13">
        <v>20</v>
      </c>
      <c r="D26" s="13" t="s">
        <v>227</v>
      </c>
      <c r="E26" s="13" t="s">
        <v>227</v>
      </c>
      <c r="F26" s="13" t="s">
        <v>227</v>
      </c>
    </row>
    <row r="29" spans="1:16" ht="12.75">
      <c r="A29" s="13" t="s">
        <v>48</v>
      </c>
      <c r="B29" s="13" t="s">
        <v>142</v>
      </c>
      <c r="C29" s="13">
        <v>10</v>
      </c>
      <c r="D29" s="13" t="s">
        <v>227</v>
      </c>
      <c r="E29" s="13" t="s">
        <v>227</v>
      </c>
      <c r="F29" s="13" t="s">
        <v>227</v>
      </c>
      <c r="G29" s="13" t="s">
        <v>227</v>
      </c>
      <c r="H29" s="13" t="s">
        <v>227</v>
      </c>
      <c r="I29" s="13" t="s">
        <v>227</v>
      </c>
      <c r="J29" s="13" t="s">
        <v>227</v>
      </c>
      <c r="K29" s="13" t="s">
        <v>227</v>
      </c>
      <c r="L29" s="13" t="s">
        <v>227</v>
      </c>
      <c r="M29" s="13" t="s">
        <v>227</v>
      </c>
      <c r="N29" s="13" t="s">
        <v>227</v>
      </c>
      <c r="O29" s="13" t="s">
        <v>227</v>
      </c>
      <c r="P29" s="13" t="s">
        <v>227</v>
      </c>
    </row>
    <row r="30" spans="2:16" ht="12.75">
      <c r="B30" s="13" t="s">
        <v>232</v>
      </c>
      <c r="C30" s="13">
        <v>30</v>
      </c>
      <c r="D30" s="13" t="s">
        <v>227</v>
      </c>
      <c r="E30" s="13" t="s">
        <v>227</v>
      </c>
      <c r="F30" s="13" t="s">
        <v>227</v>
      </c>
      <c r="G30" s="13" t="s">
        <v>227</v>
      </c>
      <c r="H30" s="13" t="s">
        <v>227</v>
      </c>
      <c r="I30" s="13" t="s">
        <v>227</v>
      </c>
      <c r="J30" s="13" t="s">
        <v>227</v>
      </c>
      <c r="K30" s="13" t="s">
        <v>227</v>
      </c>
      <c r="L30" s="13" t="s">
        <v>227</v>
      </c>
      <c r="M30" s="13" t="s">
        <v>227</v>
      </c>
      <c r="N30" s="13" t="s">
        <v>227</v>
      </c>
      <c r="O30" s="13" t="s">
        <v>227</v>
      </c>
      <c r="P30" s="13" t="s">
        <v>227</v>
      </c>
    </row>
    <row r="31" spans="2:16" ht="12.75">
      <c r="B31" s="13" t="s">
        <v>57</v>
      </c>
      <c r="C31" s="13">
        <v>20</v>
      </c>
      <c r="D31" s="13" t="s">
        <v>227</v>
      </c>
      <c r="E31" s="13" t="s">
        <v>227</v>
      </c>
      <c r="F31" s="13" t="s">
        <v>227</v>
      </c>
      <c r="G31" s="13" t="s">
        <v>227</v>
      </c>
      <c r="H31" s="13" t="s">
        <v>227</v>
      </c>
      <c r="I31" s="13" t="s">
        <v>227</v>
      </c>
      <c r="J31" s="13" t="s">
        <v>227</v>
      </c>
      <c r="K31" s="13" t="s">
        <v>227</v>
      </c>
      <c r="L31" s="13" t="s">
        <v>227</v>
      </c>
      <c r="M31" s="13" t="s">
        <v>227</v>
      </c>
      <c r="N31" s="13" t="s">
        <v>227</v>
      </c>
      <c r="O31" s="13" t="s">
        <v>227</v>
      </c>
      <c r="P31" s="13" t="s">
        <v>227</v>
      </c>
    </row>
    <row r="32" spans="2:16" ht="12.75">
      <c r="B32" s="13" t="s">
        <v>234</v>
      </c>
      <c r="C32" s="13">
        <v>10</v>
      </c>
      <c r="D32" s="13" t="s">
        <v>227</v>
      </c>
      <c r="E32" s="13" t="s">
        <v>227</v>
      </c>
      <c r="F32" s="13" t="s">
        <v>227</v>
      </c>
      <c r="G32" s="13" t="s">
        <v>227</v>
      </c>
      <c r="H32" s="13" t="s">
        <v>227</v>
      </c>
      <c r="I32" s="13" t="s">
        <v>227</v>
      </c>
      <c r="J32" s="13" t="s">
        <v>227</v>
      </c>
      <c r="K32" s="13" t="s">
        <v>227</v>
      </c>
      <c r="L32" s="13" t="s">
        <v>227</v>
      </c>
      <c r="M32" s="13" t="s">
        <v>227</v>
      </c>
      <c r="N32" s="13" t="s">
        <v>227</v>
      </c>
      <c r="O32" s="13" t="s">
        <v>227</v>
      </c>
      <c r="P32" s="13" t="s">
        <v>227</v>
      </c>
    </row>
    <row r="33" spans="2:16" ht="12.75">
      <c r="B33" s="13" t="s">
        <v>153</v>
      </c>
      <c r="C33" s="13">
        <v>10</v>
      </c>
      <c r="D33" s="13" t="s">
        <v>227</v>
      </c>
      <c r="E33" s="13" t="s">
        <v>227</v>
      </c>
      <c r="F33" s="13" t="s">
        <v>227</v>
      </c>
      <c r="G33" s="13" t="s">
        <v>227</v>
      </c>
      <c r="H33" s="13" t="s">
        <v>227</v>
      </c>
      <c r="I33" s="13" t="s">
        <v>227</v>
      </c>
      <c r="J33" s="13" t="s">
        <v>227</v>
      </c>
      <c r="K33" s="13" t="s">
        <v>227</v>
      </c>
      <c r="L33" s="13" t="s">
        <v>227</v>
      </c>
      <c r="M33" s="13" t="s">
        <v>227</v>
      </c>
      <c r="N33" s="13" t="s">
        <v>227</v>
      </c>
      <c r="O33" s="13" t="s">
        <v>227</v>
      </c>
      <c r="P33" s="13" t="s">
        <v>227</v>
      </c>
    </row>
    <row r="34" spans="2:16" ht="12.75">
      <c r="B34" s="13" t="s">
        <v>303</v>
      </c>
      <c r="C34" s="13">
        <v>5</v>
      </c>
      <c r="D34" s="13" t="s">
        <v>227</v>
      </c>
      <c r="E34" s="13" t="s">
        <v>227</v>
      </c>
      <c r="F34" s="13" t="s">
        <v>227</v>
      </c>
      <c r="G34" s="13" t="s">
        <v>227</v>
      </c>
      <c r="H34" s="13" t="s">
        <v>227</v>
      </c>
      <c r="I34" s="13" t="s">
        <v>227</v>
      </c>
      <c r="J34" s="13" t="s">
        <v>227</v>
      </c>
      <c r="K34" s="13" t="s">
        <v>227</v>
      </c>
      <c r="L34" s="13" t="s">
        <v>227</v>
      </c>
      <c r="M34" s="13" t="s">
        <v>227</v>
      </c>
      <c r="N34" s="13" t="s">
        <v>227</v>
      </c>
      <c r="O34" s="13" t="s">
        <v>227</v>
      </c>
      <c r="P34" s="13" t="s">
        <v>227</v>
      </c>
    </row>
    <row r="35" spans="2:16" ht="12.75">
      <c r="B35" s="13" t="s">
        <v>183</v>
      </c>
      <c r="C35" s="13">
        <v>15</v>
      </c>
      <c r="D35" s="13" t="s">
        <v>227</v>
      </c>
      <c r="E35" s="13" t="s">
        <v>227</v>
      </c>
      <c r="F35" s="13" t="s">
        <v>227</v>
      </c>
      <c r="G35" s="13" t="s">
        <v>227</v>
      </c>
      <c r="H35" s="13" t="s">
        <v>227</v>
      </c>
      <c r="I35" s="13" t="s">
        <v>227</v>
      </c>
      <c r="J35" s="13" t="s">
        <v>227</v>
      </c>
      <c r="K35" s="13" t="s">
        <v>227</v>
      </c>
      <c r="L35" s="13" t="s">
        <v>227</v>
      </c>
      <c r="M35" s="13" t="s">
        <v>227</v>
      </c>
      <c r="N35" s="13" t="s">
        <v>227</v>
      </c>
      <c r="O35" s="13" t="s">
        <v>227</v>
      </c>
      <c r="P35" s="13" t="s">
        <v>227</v>
      </c>
    </row>
    <row r="37" spans="1:16" ht="12.75">
      <c r="A37" s="13" t="s">
        <v>223</v>
      </c>
      <c r="B37" s="13" t="s">
        <v>142</v>
      </c>
      <c r="C37" s="13">
        <v>25</v>
      </c>
      <c r="D37" s="13" t="s">
        <v>227</v>
      </c>
      <c r="E37" s="13" t="s">
        <v>227</v>
      </c>
      <c r="F37" s="13" t="s">
        <v>227</v>
      </c>
      <c r="G37" s="13" t="s">
        <v>227</v>
      </c>
      <c r="H37" s="13" t="s">
        <v>227</v>
      </c>
      <c r="I37" s="13" t="s">
        <v>227</v>
      </c>
      <c r="J37" s="13" t="s">
        <v>227</v>
      </c>
      <c r="K37" s="13" t="s">
        <v>227</v>
      </c>
      <c r="L37" s="13" t="s">
        <v>227</v>
      </c>
      <c r="M37" s="13" t="s">
        <v>227</v>
      </c>
      <c r="N37" s="13" t="s">
        <v>227</v>
      </c>
      <c r="O37" s="13" t="s">
        <v>227</v>
      </c>
      <c r="P37" s="13" t="s">
        <v>227</v>
      </c>
    </row>
    <row r="38" spans="2:16" ht="12.75">
      <c r="B38" s="13" t="s">
        <v>232</v>
      </c>
      <c r="C38" s="13">
        <v>35</v>
      </c>
      <c r="D38" s="13" t="s">
        <v>227</v>
      </c>
      <c r="E38" s="13" t="s">
        <v>227</v>
      </c>
      <c r="F38" s="13" t="s">
        <v>227</v>
      </c>
      <c r="G38" s="13" t="s">
        <v>227</v>
      </c>
      <c r="H38" s="13" t="s">
        <v>227</v>
      </c>
      <c r="I38" s="13" t="s">
        <v>227</v>
      </c>
      <c r="J38" s="13" t="s">
        <v>227</v>
      </c>
      <c r="K38" s="13" t="s">
        <v>227</v>
      </c>
      <c r="L38" s="13" t="s">
        <v>227</v>
      </c>
      <c r="M38" s="13" t="s">
        <v>227</v>
      </c>
      <c r="N38" s="13" t="s">
        <v>227</v>
      </c>
      <c r="O38" s="13" t="s">
        <v>227</v>
      </c>
      <c r="P38" s="13" t="s">
        <v>227</v>
      </c>
    </row>
    <row r="39" spans="2:16" ht="12.75">
      <c r="B39" s="13" t="s">
        <v>57</v>
      </c>
      <c r="C39" s="13">
        <v>30</v>
      </c>
      <c r="D39" s="13" t="s">
        <v>227</v>
      </c>
      <c r="E39" s="13" t="s">
        <v>227</v>
      </c>
      <c r="F39" s="13" t="s">
        <v>227</v>
      </c>
      <c r="G39" s="13" t="s">
        <v>227</v>
      </c>
      <c r="H39" s="13" t="s">
        <v>227</v>
      </c>
      <c r="I39" s="13" t="s">
        <v>227</v>
      </c>
      <c r="J39" s="13" t="s">
        <v>227</v>
      </c>
      <c r="K39" s="13" t="s">
        <v>227</v>
      </c>
      <c r="L39" s="13" t="s">
        <v>227</v>
      </c>
      <c r="M39" s="13" t="s">
        <v>227</v>
      </c>
      <c r="N39" s="13" t="s">
        <v>227</v>
      </c>
      <c r="O39" s="13" t="s">
        <v>227</v>
      </c>
      <c r="P39" s="13" t="s">
        <v>227</v>
      </c>
    </row>
    <row r="40" spans="2:7" ht="12.75">
      <c r="B40" s="13" t="s">
        <v>234</v>
      </c>
      <c r="C40" s="13">
        <v>5</v>
      </c>
      <c r="D40" s="13" t="s">
        <v>227</v>
      </c>
      <c r="E40" s="13" t="s">
        <v>227</v>
      </c>
      <c r="F40" s="13" t="s">
        <v>227</v>
      </c>
      <c r="G40" s="13" t="s">
        <v>227</v>
      </c>
    </row>
    <row r="41" spans="2:8" ht="12.75">
      <c r="B41" s="13" t="s">
        <v>303</v>
      </c>
      <c r="C41" s="13">
        <v>5</v>
      </c>
      <c r="D41" s="13" t="s">
        <v>227</v>
      </c>
      <c r="E41" s="13" t="s">
        <v>227</v>
      </c>
      <c r="F41" s="13" t="s">
        <v>227</v>
      </c>
      <c r="G41" s="13" t="s">
        <v>227</v>
      </c>
      <c r="H41" s="13" t="s">
        <v>227</v>
      </c>
    </row>
  </sheetData>
  <mergeCells count="1">
    <mergeCell ref="D1:P1"/>
  </mergeCells>
  <dataValidations count="2">
    <dataValidation type="list" allowBlank="1" showErrorMessage="1" sqref="D3:P106">
      <formula1>"X"</formula1>
    </dataValidation>
    <dataValidation type="list" allowBlank="1" sqref="B3:B106">
      <formula1>apm!$I$13:$I$37</formula1>
    </dataValidation>
  </dataValidation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S50"/>
  <sheetViews>
    <sheetView workbookViewId="0" topLeftCell="A1">
      <pane ySplit="2" topLeftCell="A3" activePane="bottomLeft" state="frozen"/>
      <selection pane="bottomLeft" activeCell="B4" sqref="B4"/>
    </sheetView>
  </sheetViews>
  <sheetFormatPr defaultColWidth="14.421875" defaultRowHeight="12.75" customHeight="1"/>
  <cols>
    <col min="1" max="1" width="44.140625" style="0" customWidth="1"/>
    <col min="2" max="2" width="17.28125" style="0" hidden="1" customWidth="1"/>
    <col min="3" max="3" width="9.421875" style="0" hidden="1" customWidth="1"/>
    <col min="4" max="4" width="9.28125" style="0" hidden="1" customWidth="1"/>
    <col min="5" max="5" width="6.140625" style="0" customWidth="1"/>
    <col min="6" max="6" width="29.8515625" style="0" customWidth="1"/>
    <col min="7" max="7" width="10.7109375" style="0" customWidth="1"/>
    <col min="8" max="8" width="30.8515625" style="0" customWidth="1"/>
    <col min="9" max="9" width="9.28125" style="0" customWidth="1"/>
    <col min="10" max="10" width="41.7109375" style="0" customWidth="1"/>
    <col min="11" max="11" width="10.421875" style="0" customWidth="1"/>
    <col min="12" max="12" width="32.421875" style="0" customWidth="1"/>
    <col min="13" max="13" width="9.421875" style="0" customWidth="1"/>
    <col min="14" max="14" width="25.57421875" style="0" customWidth="1"/>
    <col min="15" max="15" width="8.421875" style="0" customWidth="1"/>
    <col min="16" max="16" width="31.57421875" style="0" customWidth="1"/>
    <col min="17" max="17" width="9.8515625" style="0" customWidth="1"/>
    <col min="18" max="18" width="26.140625" style="0" customWidth="1"/>
    <col min="19" max="19" width="10.421875" style="0" customWidth="1"/>
  </cols>
  <sheetData>
    <row r="1" spans="1:19" ht="12.75">
      <c r="A1" s="2" t="s">
        <v>2</v>
      </c>
      <c r="B1" s="2" t="s">
        <v>13</v>
      </c>
      <c r="C1" s="56" t="s">
        <v>16</v>
      </c>
      <c r="D1" s="56" t="s">
        <v>178</v>
      </c>
      <c r="E1" s="58" t="s">
        <v>180</v>
      </c>
      <c r="F1" s="60" t="s">
        <v>188</v>
      </c>
      <c r="G1" s="44"/>
      <c r="H1" s="62" t="s">
        <v>111</v>
      </c>
      <c r="I1" s="42"/>
      <c r="J1" s="42"/>
      <c r="K1" s="44"/>
      <c r="L1" s="64" t="s">
        <v>126</v>
      </c>
      <c r="M1" s="42"/>
      <c r="N1" s="42"/>
      <c r="O1" s="44"/>
      <c r="P1" s="67" t="s">
        <v>121</v>
      </c>
      <c r="Q1" s="42"/>
      <c r="R1" s="42"/>
      <c r="S1" s="44"/>
    </row>
    <row r="2" spans="1:19" ht="12.75">
      <c r="A2" s="69"/>
      <c r="B2" s="69"/>
      <c r="C2" s="69"/>
      <c r="D2" s="69"/>
      <c r="E2" s="69"/>
      <c r="F2" s="71" t="s">
        <v>112</v>
      </c>
      <c r="G2" s="72" t="s">
        <v>229</v>
      </c>
      <c r="H2" s="101" t="s">
        <v>231</v>
      </c>
      <c r="I2" s="106" t="s">
        <v>318</v>
      </c>
      <c r="J2" s="155" t="s">
        <v>332</v>
      </c>
      <c r="K2" s="106" t="s">
        <v>229</v>
      </c>
      <c r="L2" s="146" t="s">
        <v>231</v>
      </c>
      <c r="M2" s="149" t="str">
        <f>I2</f>
        <v>Impact Value</v>
      </c>
      <c r="N2" s="157" t="s">
        <v>332</v>
      </c>
      <c r="O2" s="149" t="str">
        <f>K2</f>
        <v>Difficulty Value</v>
      </c>
      <c r="P2" s="151" t="s">
        <v>231</v>
      </c>
      <c r="Q2" s="153" t="str">
        <f>M2</f>
        <v>Impact Value</v>
      </c>
      <c r="R2" s="160" t="s">
        <v>332</v>
      </c>
      <c r="S2" s="153" t="str">
        <f>O2</f>
        <v>Difficulty Value</v>
      </c>
    </row>
    <row r="3" spans="1:19" ht="12.75" hidden="1">
      <c r="A3" s="162" t="s">
        <v>569</v>
      </c>
      <c r="B3" s="5"/>
      <c r="C3" s="7"/>
      <c r="D3" s="7"/>
      <c r="E3" s="165" t="e">
        <f aca="true" t="shared" si="0" ref="E3:E19">(I3+M3+Q3)/(S3+O3+K3+G3)</f>
        <v>#N/A</v>
      </c>
      <c r="F3" s="184"/>
      <c r="G3" s="183" t="e">
        <f>VLOOKUP(F3,'fom-pulldowns'!$C$9:$D$18,2,FALSE)</f>
        <v>#N/A</v>
      </c>
      <c r="H3" s="177" t="s">
        <v>620</v>
      </c>
      <c r="I3" s="187" t="str">
        <f>VLOOKUP(H3,'fom-pulldowns'!$C$22:$D$31,2,FALSE)</f>
        <v>1</v>
      </c>
      <c r="J3" s="189" t="s">
        <v>625</v>
      </c>
      <c r="K3" s="187" t="str">
        <f>VLOOKUP(J3,'fom-pulldowns'!$C$35:$D$44,2,FALSE)</f>
        <v>1</v>
      </c>
      <c r="L3" s="192" t="s">
        <v>620</v>
      </c>
      <c r="M3" s="194" t="str">
        <f>VLOOKUP(L3,'fom-pulldowns'!$C$22:$D$31,2,FALSE)</f>
        <v>1</v>
      </c>
      <c r="N3" s="201" t="s">
        <v>625</v>
      </c>
      <c r="O3" s="194" t="str">
        <f>VLOOKUP(N3,'fom-pulldowns'!$C$35:$D$44,2,FALSE)</f>
        <v>1</v>
      </c>
      <c r="P3" s="203" t="s">
        <v>620</v>
      </c>
      <c r="Q3" s="205" t="str">
        <f>VLOOKUP(P3,'fom-pulldowns'!$C$22:$D$31,2,FALSE)</f>
        <v>1</v>
      </c>
      <c r="R3" s="206" t="s">
        <v>625</v>
      </c>
      <c r="S3" s="205" t="str">
        <f>VLOOKUP(R3,'fom-pulldowns'!$C$35:$D$44,2,FALSE)</f>
        <v>1</v>
      </c>
    </row>
    <row r="4" spans="1:19" ht="12.75" hidden="1">
      <c r="A4" s="162" t="s">
        <v>646</v>
      </c>
      <c r="B4" s="5"/>
      <c r="C4" s="7"/>
      <c r="D4" s="7"/>
      <c r="E4" s="165" t="e">
        <f t="shared" si="0"/>
        <v>#N/A</v>
      </c>
      <c r="F4" s="184"/>
      <c r="G4" s="183" t="e">
        <f>VLOOKUP(F4,'fom-pulldowns'!$C$9:$D$18,2,FALSE)</f>
        <v>#N/A</v>
      </c>
      <c r="H4" s="177" t="s">
        <v>620</v>
      </c>
      <c r="I4" s="187" t="str">
        <f>VLOOKUP(H4,'fom-pulldowns'!$C$22:$D$31,2,FALSE)</f>
        <v>1</v>
      </c>
      <c r="J4" s="189" t="s">
        <v>625</v>
      </c>
      <c r="K4" s="210" t="str">
        <f>VLOOKUP(J4,'fom-pulldowns'!$C$35:$D$44,2,FALSE)</f>
        <v>1</v>
      </c>
      <c r="L4" s="212" t="s">
        <v>620</v>
      </c>
      <c r="M4" s="221" t="str">
        <f>VLOOKUP(L4,'fom-pulldowns'!$C$22:$D$31,2,FALSE)</f>
        <v>1</v>
      </c>
      <c r="N4" s="224" t="s">
        <v>625</v>
      </c>
      <c r="O4" s="221" t="str">
        <f>VLOOKUP(N4,'fom-pulldowns'!$C$35:$D$44,2,FALSE)</f>
        <v>1</v>
      </c>
      <c r="P4" s="227" t="s">
        <v>620</v>
      </c>
      <c r="Q4" s="232" t="str">
        <f>VLOOKUP(P4,'fom-pulldowns'!$C$22:$D$31,2,FALSE)</f>
        <v>1</v>
      </c>
      <c r="R4" s="234" t="s">
        <v>625</v>
      </c>
      <c r="S4" s="232" t="str">
        <f>VLOOKUP(R4,'fom-pulldowns'!$C$35:$D$44,2,FALSE)</f>
        <v>1</v>
      </c>
    </row>
    <row r="5" spans="1:19" ht="12.75" hidden="1">
      <c r="A5" s="162" t="s">
        <v>725</v>
      </c>
      <c r="B5" s="5"/>
      <c r="C5" s="7"/>
      <c r="D5" s="7"/>
      <c r="E5" s="165" t="e">
        <f t="shared" si="0"/>
        <v>#N/A</v>
      </c>
      <c r="F5" s="184"/>
      <c r="G5" s="183" t="e">
        <f>VLOOKUP(F5,'fom-pulldowns'!$C$9:$D$18,2,FALSE)</f>
        <v>#N/A</v>
      </c>
      <c r="H5" s="177" t="s">
        <v>620</v>
      </c>
      <c r="I5" s="187" t="str">
        <f>VLOOKUP(H5,'fom-pulldowns'!$C$22:$D$31,2,FALSE)</f>
        <v>1</v>
      </c>
      <c r="J5" s="189" t="s">
        <v>625</v>
      </c>
      <c r="K5" s="241" t="str">
        <f>VLOOKUP(J5,'fom-pulldowns'!$C$35:$D$44,2,FALSE)</f>
        <v>1</v>
      </c>
      <c r="L5" s="243" t="s">
        <v>620</v>
      </c>
      <c r="M5" s="245" t="str">
        <f>VLOOKUP(L5,'fom-pulldowns'!$C$22:$D$31,2,FALSE)</f>
        <v>1</v>
      </c>
      <c r="N5" s="249" t="s">
        <v>625</v>
      </c>
      <c r="O5" s="245" t="str">
        <f>VLOOKUP(N5,'fom-pulldowns'!$C$35:$D$44,2,FALSE)</f>
        <v>1</v>
      </c>
      <c r="P5" s="252" t="s">
        <v>620</v>
      </c>
      <c r="Q5" s="259" t="str">
        <f>VLOOKUP(P5,'fom-pulldowns'!$C$22:$D$31,2,FALSE)</f>
        <v>1</v>
      </c>
      <c r="R5" s="261" t="s">
        <v>625</v>
      </c>
      <c r="S5" s="259" t="str">
        <f>VLOOKUP(R5,'fom-pulldowns'!$C$35:$D$44,2,FALSE)</f>
        <v>1</v>
      </c>
    </row>
    <row r="6" spans="1:19" ht="12.75" hidden="1">
      <c r="A6" s="162" t="s">
        <v>773</v>
      </c>
      <c r="B6" s="5"/>
      <c r="C6" s="7"/>
      <c r="D6" s="7"/>
      <c r="E6" s="165" t="e">
        <f t="shared" si="0"/>
        <v>#N/A</v>
      </c>
      <c r="F6" s="184"/>
      <c r="G6" s="183" t="e">
        <f>VLOOKUP(F6,'fom-pulldowns'!$C$9:$D$18,2,FALSE)</f>
        <v>#N/A</v>
      </c>
      <c r="H6" s="177" t="s">
        <v>620</v>
      </c>
      <c r="I6" s="187" t="str">
        <f>VLOOKUP(H6,'fom-pulldowns'!$C$22:$D$31,2,FALSE)</f>
        <v>1</v>
      </c>
      <c r="J6" s="189" t="s">
        <v>625</v>
      </c>
      <c r="K6" s="187" t="str">
        <f>VLOOKUP(J6,'fom-pulldowns'!$C$35:$D$44,2,FALSE)</f>
        <v>1</v>
      </c>
      <c r="L6" s="192" t="s">
        <v>620</v>
      </c>
      <c r="M6" s="194" t="str">
        <f>VLOOKUP(L6,'fom-pulldowns'!$C$22:$D$31,2,FALSE)</f>
        <v>1</v>
      </c>
      <c r="N6" s="201" t="s">
        <v>625</v>
      </c>
      <c r="O6" s="194" t="str">
        <f>VLOOKUP(N6,'fom-pulldowns'!$C$35:$D$44,2,FALSE)</f>
        <v>1</v>
      </c>
      <c r="P6" s="203" t="s">
        <v>620</v>
      </c>
      <c r="Q6" s="205" t="str">
        <f>VLOOKUP(P6,'fom-pulldowns'!$C$22:$D$31,2,FALSE)</f>
        <v>1</v>
      </c>
      <c r="R6" s="206" t="s">
        <v>625</v>
      </c>
      <c r="S6" s="205" t="str">
        <f>VLOOKUP(R6,'fom-pulldowns'!$C$35:$D$44,2,FALSE)</f>
        <v>1</v>
      </c>
    </row>
    <row r="7" spans="1:19" ht="12.75" hidden="1">
      <c r="A7" s="162" t="s">
        <v>371</v>
      </c>
      <c r="B7" s="5"/>
      <c r="C7" s="7"/>
      <c r="D7" s="7"/>
      <c r="E7" s="165" t="e">
        <f t="shared" si="0"/>
        <v>#N/A</v>
      </c>
      <c r="F7" s="184"/>
      <c r="G7" s="183" t="e">
        <f>VLOOKUP(F7,'fom-pulldowns'!$C$9:$D$18,2,FALSE)</f>
        <v>#N/A</v>
      </c>
      <c r="H7" s="177" t="s">
        <v>622</v>
      </c>
      <c r="I7" s="187" t="str">
        <f>VLOOKUP(H7,'fom-pulldowns'!$C$22:$D$31,2,FALSE)</f>
        <v>5</v>
      </c>
      <c r="J7" s="189" t="s">
        <v>650</v>
      </c>
      <c r="K7" s="187" t="str">
        <f>VLOOKUP(J7,'fom-pulldowns'!$C$35:$D$44,2,FALSE)</f>
        <v>2</v>
      </c>
      <c r="L7" s="192" t="s">
        <v>620</v>
      </c>
      <c r="M7" s="194" t="str">
        <f>VLOOKUP(L7,'fom-pulldowns'!$C$22:$D$31,2,FALSE)</f>
        <v>1</v>
      </c>
      <c r="N7" s="201" t="s">
        <v>625</v>
      </c>
      <c r="O7" s="194" t="str">
        <f>VLOOKUP(N7,'fom-pulldowns'!$C$35:$D$44,2,FALSE)</f>
        <v>1</v>
      </c>
      <c r="P7" s="203" t="s">
        <v>620</v>
      </c>
      <c r="Q7" s="205" t="str">
        <f>VLOOKUP(P7,'fom-pulldowns'!$C$22:$D$31,2,FALSE)</f>
        <v>1</v>
      </c>
      <c r="R7" s="206" t="s">
        <v>625</v>
      </c>
      <c r="S7" s="205" t="str">
        <f>VLOOKUP(R7,'fom-pulldowns'!$C$35:$D$44,2,FALSE)</f>
        <v>1</v>
      </c>
    </row>
    <row r="8" spans="1:19" ht="12.75" hidden="1">
      <c r="A8" s="162" t="s">
        <v>786</v>
      </c>
      <c r="B8" s="5"/>
      <c r="C8" s="7"/>
      <c r="D8" s="7"/>
      <c r="E8" s="165" t="e">
        <f t="shared" si="0"/>
        <v>#N/A</v>
      </c>
      <c r="F8" s="184"/>
      <c r="G8" s="183" t="e">
        <f>VLOOKUP(F8,'fom-pulldowns'!$C$9:$D$18,2,FALSE)</f>
        <v>#N/A</v>
      </c>
      <c r="H8" s="177" t="s">
        <v>620</v>
      </c>
      <c r="I8" s="187" t="str">
        <f>VLOOKUP(H8,'fom-pulldowns'!$C$22:$D$31,2,FALSE)</f>
        <v>1</v>
      </c>
      <c r="J8" s="189" t="s">
        <v>625</v>
      </c>
      <c r="K8" s="187" t="str">
        <f>VLOOKUP(J8,'fom-pulldowns'!$C$35:$D$44,2,FALSE)</f>
        <v>1</v>
      </c>
      <c r="L8" s="192" t="s">
        <v>620</v>
      </c>
      <c r="M8" s="194" t="str">
        <f>VLOOKUP(L8,'fom-pulldowns'!$C$22:$D$31,2,FALSE)</f>
        <v>1</v>
      </c>
      <c r="N8" s="201" t="s">
        <v>625</v>
      </c>
      <c r="O8" s="194" t="str">
        <f>VLOOKUP(N8,'fom-pulldowns'!$C$35:$D$44,2,FALSE)</f>
        <v>1</v>
      </c>
      <c r="P8" s="203" t="s">
        <v>620</v>
      </c>
      <c r="Q8" s="205" t="str">
        <f>VLOOKUP(P8,'fom-pulldowns'!$C$22:$D$31,2,FALSE)</f>
        <v>1</v>
      </c>
      <c r="R8" s="206" t="s">
        <v>625</v>
      </c>
      <c r="S8" s="205" t="str">
        <f>VLOOKUP(R8,'fom-pulldowns'!$C$35:$D$44,2,FALSE)</f>
        <v>1</v>
      </c>
    </row>
    <row r="9" spans="1:19" ht="12.75">
      <c r="A9" s="126" t="str">
        <f>HYPERLINK("https://docs.google.com/open?id=0B8aL7M45OFh_MjQ2ZDFlMWEtNzRmYS00M2QzLTkyMTEtY2ZmM2MyYjhjMzcw","Dotomi Remarketing Purchase feed")</f>
        <v>Dotomi Remarketing Purchase feed</v>
      </c>
      <c r="B9" s="8" t="s">
        <v>111</v>
      </c>
      <c r="C9" s="181">
        <v>40926</v>
      </c>
      <c r="D9" s="181">
        <v>40967</v>
      </c>
      <c r="E9" s="165" t="str">
        <f t="shared" si="0"/>
        <v>1.33</v>
      </c>
      <c r="F9" s="173" t="s">
        <v>614</v>
      </c>
      <c r="G9" s="183" t="str">
        <f>VLOOKUP(F9,'fom-pulldowns'!$C$9:$D$18,2,FALSE)</f>
        <v>5</v>
      </c>
      <c r="H9" s="177" t="s">
        <v>689</v>
      </c>
      <c r="I9" s="187" t="str">
        <f>VLOOKUP(H9,'fom-pulldowns'!$C$22:$D$31,2,FALSE)</f>
        <v>10</v>
      </c>
      <c r="J9" s="189" t="s">
        <v>650</v>
      </c>
      <c r="K9" s="187" t="str">
        <f>VLOOKUP(J9,'fom-pulldowns'!$C$35:$D$44,2,FALSE)</f>
        <v>2</v>
      </c>
      <c r="L9" s="192" t="s">
        <v>620</v>
      </c>
      <c r="M9" s="194" t="str">
        <f>VLOOKUP(L9,'fom-pulldowns'!$C$22:$D$31,2,FALSE)</f>
        <v>1</v>
      </c>
      <c r="N9" s="201" t="s">
        <v>625</v>
      </c>
      <c r="O9" s="194" t="str">
        <f>VLOOKUP(N9,'fom-pulldowns'!$C$35:$D$44,2,FALSE)</f>
        <v>1</v>
      </c>
      <c r="P9" s="203" t="s">
        <v>620</v>
      </c>
      <c r="Q9" s="205" t="str">
        <f>VLOOKUP(P9,'fom-pulldowns'!$C$22:$D$31,2,FALSE)</f>
        <v>1</v>
      </c>
      <c r="R9" s="206" t="s">
        <v>625</v>
      </c>
      <c r="S9" s="205" t="str">
        <f>VLOOKUP(R9,'fom-pulldowns'!$C$35:$D$44,2,FALSE)</f>
        <v>1</v>
      </c>
    </row>
    <row r="10" spans="1:19" ht="12.75">
      <c r="A10" s="218" t="str">
        <f>HYPERLINK("https://docs.google.com/leaf?id=0B8aL7M45OFh_YTc0NjNjMzMtZWMyMi00M2VlLTg5MmItYWY3ODVjYjRlZjc1&amp;hl=en&amp;authkey=CJ3DpoEB","Product Sets")</f>
        <v>Product Sets</v>
      </c>
      <c r="B10" s="8" t="s">
        <v>133</v>
      </c>
      <c r="C10" s="181">
        <v>40674</v>
      </c>
      <c r="D10" s="181">
        <v>40816</v>
      </c>
      <c r="E10" s="165" t="str">
        <f t="shared" si="0"/>
        <v>1.07</v>
      </c>
      <c r="F10" s="173" t="s">
        <v>614</v>
      </c>
      <c r="G10" s="183" t="str">
        <f>VLOOKUP(F10,'fom-pulldowns'!$C$9:$D$18,2,FALSE)</f>
        <v>5</v>
      </c>
      <c r="H10" s="177" t="s">
        <v>664</v>
      </c>
      <c r="I10" s="187" t="str">
        <f>VLOOKUP(H10,'fom-pulldowns'!$C$22:$D$31,2,FALSE)</f>
        <v>4</v>
      </c>
      <c r="J10" s="189" t="s">
        <v>659</v>
      </c>
      <c r="K10" s="187" t="str">
        <f>VLOOKUP(J10,'fom-pulldowns'!$C$35:$D$44,2,FALSE)</f>
        <v>3</v>
      </c>
      <c r="L10" s="192" t="s">
        <v>728</v>
      </c>
      <c r="M10" s="194" t="str">
        <f>VLOOKUP(L10,'fom-pulldowns'!$C$22:$D$31,2,FALSE)</f>
        <v>6</v>
      </c>
      <c r="N10" s="201" t="s">
        <v>753</v>
      </c>
      <c r="O10" s="194" t="str">
        <f>VLOOKUP(N10,'fom-pulldowns'!$C$35:$D$44,2,FALSE)</f>
        <v>4</v>
      </c>
      <c r="P10" s="203" t="s">
        <v>599</v>
      </c>
      <c r="Q10" s="242">
        <v>6</v>
      </c>
      <c r="R10" s="206" t="s">
        <v>659</v>
      </c>
      <c r="S10" s="205" t="str">
        <f>VLOOKUP(R10,'fom-pulldowns'!$C$35:$D$44,2,FALSE)</f>
        <v>3</v>
      </c>
    </row>
    <row r="11" spans="1:19" ht="12.75">
      <c r="A11" s="235" t="str">
        <f>HYPERLINK("https://docs.google.com/leaf?id=0B8aL7M45OFh_YzMxMmRmMzgtYTc4Yi00MjEyLWFmMTQtNDI5Y2Y5OGNiM2Ez&amp;hl=en_US","Gift with purchase (GWP)")</f>
        <v>Gift with purchase (GWP)</v>
      </c>
      <c r="B11" s="8" t="s">
        <v>133</v>
      </c>
      <c r="C11" s="181">
        <v>40798</v>
      </c>
      <c r="D11" s="181">
        <v>40999</v>
      </c>
      <c r="E11" s="165" t="str">
        <f t="shared" si="0"/>
        <v>1.00</v>
      </c>
      <c r="F11" s="173" t="s">
        <v>621</v>
      </c>
      <c r="G11" s="183" t="str">
        <f>VLOOKUP(F11,'fom-pulldowns'!$C$9:$D$18,2,FALSE)</f>
        <v>4</v>
      </c>
      <c r="H11" s="177" t="s">
        <v>728</v>
      </c>
      <c r="I11" s="187" t="str">
        <f>VLOOKUP(H11,'fom-pulldowns'!$C$22:$D$31,2,FALSE)</f>
        <v>6</v>
      </c>
      <c r="J11" s="189" t="s">
        <v>650</v>
      </c>
      <c r="K11" s="187" t="str">
        <f>VLOOKUP(J11,'fom-pulldowns'!$C$35:$D$44,2,FALSE)</f>
        <v>2</v>
      </c>
      <c r="L11" s="192" t="s">
        <v>620</v>
      </c>
      <c r="M11" s="194" t="str">
        <f>VLOOKUP(L11,'fom-pulldowns'!$C$22:$D$31,2,FALSE)</f>
        <v>1</v>
      </c>
      <c r="N11" s="201" t="s">
        <v>650</v>
      </c>
      <c r="O11" s="194" t="str">
        <f>VLOOKUP(N11,'fom-pulldowns'!$C$35:$D$44,2,FALSE)</f>
        <v>2</v>
      </c>
      <c r="P11" s="203" t="s">
        <v>620</v>
      </c>
      <c r="Q11" s="242">
        <v>3</v>
      </c>
      <c r="R11" s="206" t="s">
        <v>650</v>
      </c>
      <c r="S11" s="205" t="str">
        <f>VLOOKUP(R11,'fom-pulldowns'!$C$35:$D$44,2,FALSE)</f>
        <v>2</v>
      </c>
    </row>
    <row r="12" spans="1:19" ht="12.75">
      <c r="A12" s="126" t="str">
        <f>HYPERLINK("https://docs.google.com/open?id=0B8aL7M45OFh_NThiZmYzZGItZGZkZC00MTU4LThkYjItMGY0NjBjMmE0ZTFh","Couponing/Promo code redesign")</f>
        <v>Couponing/Promo code redesign</v>
      </c>
      <c r="B12" s="8" t="s">
        <v>133</v>
      </c>
      <c r="C12" s="181">
        <v>40912</v>
      </c>
      <c r="D12" s="181">
        <v>41090</v>
      </c>
      <c r="E12" s="165" t="str">
        <f t="shared" si="0"/>
        <v>1.00</v>
      </c>
      <c r="F12" s="173" t="s">
        <v>614</v>
      </c>
      <c r="G12" s="183" t="str">
        <f>VLOOKUP(F12,'fom-pulldowns'!$C$9:$D$18,2,FALSE)</f>
        <v>5</v>
      </c>
      <c r="H12" s="177" t="s">
        <v>615</v>
      </c>
      <c r="I12" s="187" t="str">
        <f>VLOOKUP(H12,'fom-pulldowns'!$C$22:$D$31,2,FALSE)</f>
        <v>7</v>
      </c>
      <c r="J12" s="189" t="s">
        <v>650</v>
      </c>
      <c r="K12" s="187" t="str">
        <f>VLOOKUP(J12,'fom-pulldowns'!$C$35:$D$44,2,FALSE)</f>
        <v>2</v>
      </c>
      <c r="L12" s="192" t="s">
        <v>620</v>
      </c>
      <c r="M12" s="194" t="str">
        <f>VLOOKUP(L12,'fom-pulldowns'!$C$22:$D$31,2,FALSE)</f>
        <v>1</v>
      </c>
      <c r="N12" s="201" t="s">
        <v>625</v>
      </c>
      <c r="O12" s="194" t="str">
        <f>VLOOKUP(N12,'fom-pulldowns'!$C$35:$D$44,2,FALSE)</f>
        <v>1</v>
      </c>
      <c r="P12" s="203" t="s">
        <v>599</v>
      </c>
      <c r="Q12" s="205" t="str">
        <f>VLOOKUP(P12,'fom-pulldowns'!$C$22:$D$31,2,FALSE)</f>
        <v>3</v>
      </c>
      <c r="R12" s="206" t="s">
        <v>659</v>
      </c>
      <c r="S12" s="205" t="str">
        <f>VLOOKUP(R12,'fom-pulldowns'!$C$35:$D$44,2,FALSE)</f>
        <v>3</v>
      </c>
    </row>
    <row r="13" spans="1:19" ht="12.75">
      <c r="A13" s="218" t="str">
        <f>HYPERLINK("https://docs.google.com/leaf?id=0B8aL7M45OFh_NWVlMzBhODYtOTg2Ny00NjljLWIzMmUtY2Q2ZjAzY2VjODRh&amp;hl=en_US&amp;authkey=CIXEreAI","BISN Triage Phase 1 (Backend)")</f>
        <v>BISN Triage Phase 1 (Backend)</v>
      </c>
      <c r="B13" s="8" t="s">
        <v>133</v>
      </c>
      <c r="C13" s="181">
        <v>40681</v>
      </c>
      <c r="D13" s="181">
        <v>40816</v>
      </c>
      <c r="E13" s="165" t="str">
        <f t="shared" si="0"/>
        <v>0.82</v>
      </c>
      <c r="F13" s="173" t="s">
        <v>621</v>
      </c>
      <c r="G13" s="183" t="str">
        <f>VLOOKUP(F13,'fom-pulldowns'!$C$9:$D$18,2,FALSE)</f>
        <v>4</v>
      </c>
      <c r="H13" s="177" t="s">
        <v>728</v>
      </c>
      <c r="I13" s="187" t="str">
        <f>VLOOKUP(H13,'fom-pulldowns'!$C$22:$D$31,2,FALSE)</f>
        <v>6</v>
      </c>
      <c r="J13" s="189" t="s">
        <v>659</v>
      </c>
      <c r="K13" s="187" t="str">
        <f>VLOOKUP(J13,'fom-pulldowns'!$C$35:$D$44,2,FALSE)</f>
        <v>3</v>
      </c>
      <c r="L13" s="192" t="s">
        <v>652</v>
      </c>
      <c r="M13" s="194" t="str">
        <f>VLOOKUP(L13,'fom-pulldowns'!$C$22:$D$31,2,FALSE)</f>
        <v>2</v>
      </c>
      <c r="N13" s="201" t="s">
        <v>650</v>
      </c>
      <c r="O13" s="194" t="str">
        <f>VLOOKUP(N13,'fom-pulldowns'!$C$35:$D$44,2,FALSE)</f>
        <v>2</v>
      </c>
      <c r="P13" s="203" t="s">
        <v>620</v>
      </c>
      <c r="Q13" s="205" t="str">
        <f>VLOOKUP(P13,'fom-pulldowns'!$C$22:$D$31,2,FALSE)</f>
        <v>1</v>
      </c>
      <c r="R13" s="206" t="s">
        <v>650</v>
      </c>
      <c r="S13" s="205" t="str">
        <f>VLOOKUP(R13,'fom-pulldowns'!$C$35:$D$44,2,FALSE)</f>
        <v>2</v>
      </c>
    </row>
    <row r="14" spans="1:19" ht="12.75">
      <c r="A14" s="218" t="str">
        <f>HYPERLINK("https://docs.google.com/leaf?id=0B8aL7M45OFh_MmQ5NjdkN2MtYmExYi00YzI3LWJlNWMtN2YxZWMxZGJkZjQ4&amp;hl=en_US&amp;authkey=CPunlMYO","Product Feed Fixes/Improvements to optimize Comparison Shopping Engines)")</f>
        <v>Product Feed Fixes/Improvements to optimize Comparison Shopping Engines)</v>
      </c>
      <c r="B14" s="8" t="s">
        <v>133</v>
      </c>
      <c r="C14" s="181">
        <v>40676</v>
      </c>
      <c r="D14" s="7"/>
      <c r="E14" s="165" t="str">
        <f t="shared" si="0"/>
        <v>0.80</v>
      </c>
      <c r="F14" s="173" t="s">
        <v>681</v>
      </c>
      <c r="G14" s="183" t="str">
        <f>VLOOKUP(F14,'fom-pulldowns'!$C$9:$D$18,2,FALSE)</f>
        <v>3</v>
      </c>
      <c r="H14" s="177" t="s">
        <v>622</v>
      </c>
      <c r="I14" s="187" t="str">
        <f>VLOOKUP(H14,'fom-pulldowns'!$C$22:$D$31,2,FALSE)</f>
        <v>5</v>
      </c>
      <c r="J14" s="189" t="s">
        <v>650</v>
      </c>
      <c r="K14" s="187" t="str">
        <f>VLOOKUP(J14,'fom-pulldowns'!$C$35:$D$44,2,FALSE)</f>
        <v>2</v>
      </c>
      <c r="L14" s="192" t="s">
        <v>620</v>
      </c>
      <c r="M14" s="194" t="str">
        <f>VLOOKUP(L14,'fom-pulldowns'!$C$22:$D$31,2,FALSE)</f>
        <v>1</v>
      </c>
      <c r="N14" s="201" t="s">
        <v>625</v>
      </c>
      <c r="O14" s="194" t="str">
        <f>VLOOKUP(N14,'fom-pulldowns'!$C$35:$D$44,2,FALSE)</f>
        <v>1</v>
      </c>
      <c r="P14" s="203" t="s">
        <v>652</v>
      </c>
      <c r="Q14" s="205" t="str">
        <f>VLOOKUP(P14,'fom-pulldowns'!$C$22:$D$31,2,FALSE)</f>
        <v>2</v>
      </c>
      <c r="R14" s="206" t="s">
        <v>753</v>
      </c>
      <c r="S14" s="205" t="str">
        <f>VLOOKUP(R14,'fom-pulldowns'!$C$35:$D$44,2,FALSE)</f>
        <v>4</v>
      </c>
    </row>
    <row r="15" spans="1:19" ht="12.75">
      <c r="A15" s="235" t="str">
        <f>HYPERLINK("https://docs.google.com/leaf?id=0B8aL7M45OFh_MTY0NjQxZTUtZjdkYy00ZjFjLThjN2EtNjQyZDEyNjU0YWU5&amp;hl=en&amp;authkey=CJSRuaMD","Email Acquisition Enhancements")</f>
        <v>Email Acquisition Enhancements</v>
      </c>
      <c r="B15" s="8" t="s">
        <v>133</v>
      </c>
      <c r="C15" s="181">
        <v>40661</v>
      </c>
      <c r="D15" s="181">
        <v>40724</v>
      </c>
      <c r="E15" s="165" t="str">
        <f t="shared" si="0"/>
        <v>0.75</v>
      </c>
      <c r="F15" s="173" t="s">
        <v>691</v>
      </c>
      <c r="G15" s="183" t="str">
        <f>VLOOKUP(F15,'fom-pulldowns'!$C$9:$D$18,2,FALSE)</f>
        <v>7</v>
      </c>
      <c r="H15" s="177" t="s">
        <v>615</v>
      </c>
      <c r="I15" s="187" t="str">
        <f>VLOOKUP(H15,'fom-pulldowns'!$C$22:$D$31,2,FALSE)</f>
        <v>7</v>
      </c>
      <c r="J15" s="189" t="s">
        <v>659</v>
      </c>
      <c r="K15" s="187" t="str">
        <f>VLOOKUP(J15,'fom-pulldowns'!$C$35:$D$44,2,FALSE)</f>
        <v>3</v>
      </c>
      <c r="L15" s="192" t="s">
        <v>620</v>
      </c>
      <c r="M15" s="194" t="str">
        <f>VLOOKUP(L15,'fom-pulldowns'!$C$22:$D$31,2,FALSE)</f>
        <v>1</v>
      </c>
      <c r="N15" s="201" t="s">
        <v>625</v>
      </c>
      <c r="O15" s="194" t="str">
        <f>VLOOKUP(N15,'fom-pulldowns'!$C$35:$D$44,2,FALSE)</f>
        <v>1</v>
      </c>
      <c r="P15" s="203" t="s">
        <v>620</v>
      </c>
      <c r="Q15" s="205" t="str">
        <f>VLOOKUP(P15,'fom-pulldowns'!$C$22:$D$31,2,FALSE)</f>
        <v>1</v>
      </c>
      <c r="R15" s="206" t="s">
        <v>625</v>
      </c>
      <c r="S15" s="205" t="str">
        <f>VLOOKUP(R15,'fom-pulldowns'!$C$35:$D$44,2,FALSE)</f>
        <v>1</v>
      </c>
    </row>
    <row r="16" spans="1:19" ht="12.75">
      <c r="A16" s="235" t="str">
        <f>HYPERLINK("https://docs.google.com/open?id=0B8aL7M45OFh_MzE0N2I4MmUtNTEwMC00NDg3LWFhZDgtODBlZGFhMTgxYTgy","Discount pricing by percentage in category and other")</f>
        <v>Discount pricing by percentage in category and other</v>
      </c>
      <c r="B16" s="8" t="s">
        <v>133</v>
      </c>
      <c r="C16" s="181">
        <v>40840</v>
      </c>
      <c r="D16" s="181">
        <v>41090</v>
      </c>
      <c r="E16" s="165" t="str">
        <f t="shared" si="0"/>
        <v>0.67</v>
      </c>
      <c r="F16" s="173" t="s">
        <v>621</v>
      </c>
      <c r="G16" s="183" t="str">
        <f>VLOOKUP(F16,'fom-pulldowns'!$C$9:$D$18,2,FALSE)</f>
        <v>4</v>
      </c>
      <c r="H16" s="177" t="s">
        <v>620</v>
      </c>
      <c r="I16" s="187" t="str">
        <f>VLOOKUP(H16,'fom-pulldowns'!$C$22:$D$31,2,FALSE)</f>
        <v>1</v>
      </c>
      <c r="J16" s="189" t="s">
        <v>625</v>
      </c>
      <c r="K16" s="187" t="str">
        <f>VLOOKUP(J16,'fom-pulldowns'!$C$35:$D$44,2,FALSE)</f>
        <v>1</v>
      </c>
      <c r="L16" s="192" t="s">
        <v>652</v>
      </c>
      <c r="M16" s="194" t="str">
        <f>VLOOKUP(L16,'fom-pulldowns'!$C$22:$D$31,2,FALSE)</f>
        <v>2</v>
      </c>
      <c r="N16" s="201" t="s">
        <v>650</v>
      </c>
      <c r="O16" s="194" t="str">
        <f>VLOOKUP(N16,'fom-pulldowns'!$C$35:$D$44,2,FALSE)</f>
        <v>2</v>
      </c>
      <c r="P16" s="203" t="s">
        <v>652</v>
      </c>
      <c r="Q16" s="242">
        <v>3</v>
      </c>
      <c r="R16" s="206" t="s">
        <v>650</v>
      </c>
      <c r="S16" s="205" t="str">
        <f>VLOOKUP(R16,'fom-pulldowns'!$C$35:$D$44,2,FALSE)</f>
        <v>2</v>
      </c>
    </row>
    <row r="17" spans="1:19" ht="12.75">
      <c r="A17" s="218" t="str">
        <f>HYPERLINK("https://docs.google.com/open?id=0B8aL7M45OFh_MDVkYWZkZGMtMzQ1Yy00ODI4LTg5N2QtZDAxMDQ4NzM2M2E5","Catalog Sign-Up and Removal Form on Customer Service Page")</f>
        <v>Catalog Sign-Up and Removal Form on Customer Service Page</v>
      </c>
      <c r="B17" s="8" t="s">
        <v>111</v>
      </c>
      <c r="C17" s="181">
        <v>40862</v>
      </c>
      <c r="D17" s="181">
        <v>40953</v>
      </c>
      <c r="E17" s="165" t="str">
        <f t="shared" si="0"/>
        <v>0.63</v>
      </c>
      <c r="F17" s="173" t="s">
        <v>614</v>
      </c>
      <c r="G17" s="183" t="str">
        <f>VLOOKUP(F17,'fom-pulldowns'!$C$9:$D$18,2,FALSE)</f>
        <v>5</v>
      </c>
      <c r="H17" s="177" t="s">
        <v>652</v>
      </c>
      <c r="I17" s="187" t="str">
        <f>VLOOKUP(H17,'fom-pulldowns'!$C$22:$D$31,2,FALSE)</f>
        <v>2</v>
      </c>
      <c r="J17" s="189" t="s">
        <v>625</v>
      </c>
      <c r="K17" s="187" t="str">
        <f>VLOOKUP(J17,'fom-pulldowns'!$C$35:$D$44,2,FALSE)</f>
        <v>1</v>
      </c>
      <c r="L17" s="192" t="s">
        <v>652</v>
      </c>
      <c r="M17" s="194" t="str">
        <f>VLOOKUP(L17,'fom-pulldowns'!$C$22:$D$31,2,FALSE)</f>
        <v>2</v>
      </c>
      <c r="N17" s="201" t="s">
        <v>625</v>
      </c>
      <c r="O17" s="194" t="str">
        <f>VLOOKUP(N17,'fom-pulldowns'!$C$35:$D$44,2,FALSE)</f>
        <v>1</v>
      </c>
      <c r="P17" s="203" t="s">
        <v>620</v>
      </c>
      <c r="Q17" s="205" t="str">
        <f>VLOOKUP(P17,'fom-pulldowns'!$C$22:$D$31,2,FALSE)</f>
        <v>1</v>
      </c>
      <c r="R17" s="206" t="s">
        <v>625</v>
      </c>
      <c r="S17" s="205" t="str">
        <f>VLOOKUP(R17,'fom-pulldowns'!$C$35:$D$44,2,FALSE)</f>
        <v>1</v>
      </c>
    </row>
    <row r="18" spans="1:19" ht="12.75">
      <c r="A18" s="218" t="str">
        <f>HYPERLINK("https://docs.google.com/open?id=0B8aL7M45OFh_NjQ1MmNkNTUtYzc1MS00YWQ0LWJmZTctNDE3NzIzMzY1MzA1","Pre-Orders")</f>
        <v>Pre-Orders</v>
      </c>
      <c r="B18" s="8" t="s">
        <v>133</v>
      </c>
      <c r="C18" s="181">
        <v>40868</v>
      </c>
      <c r="D18" s="181">
        <v>41090</v>
      </c>
      <c r="E18" s="165" t="str">
        <f t="shared" si="0"/>
        <v>0.53</v>
      </c>
      <c r="F18" s="173" t="s">
        <v>708</v>
      </c>
      <c r="G18" s="183" t="str">
        <f>VLOOKUP(F18,'fom-pulldowns'!$C$9:$D$18,2,FALSE)</f>
        <v>10</v>
      </c>
      <c r="H18" s="177" t="s">
        <v>664</v>
      </c>
      <c r="I18" s="187" t="str">
        <f>VLOOKUP(H18,'fom-pulldowns'!$C$22:$D$31,2,FALSE)</f>
        <v>4</v>
      </c>
      <c r="J18" s="189" t="s">
        <v>650</v>
      </c>
      <c r="K18" s="187" t="str">
        <f>VLOOKUP(J18,'fom-pulldowns'!$C$35:$D$44,2,FALSE)</f>
        <v>2</v>
      </c>
      <c r="L18" s="192" t="s">
        <v>599</v>
      </c>
      <c r="M18" s="194" t="str">
        <f>VLOOKUP(L18,'fom-pulldowns'!$C$22:$D$31,2,FALSE)</f>
        <v>3</v>
      </c>
      <c r="N18" s="201" t="s">
        <v>650</v>
      </c>
      <c r="O18" s="194" t="str">
        <f>VLOOKUP(N18,'fom-pulldowns'!$C$35:$D$44,2,FALSE)</f>
        <v>2</v>
      </c>
      <c r="P18" s="203" t="s">
        <v>620</v>
      </c>
      <c r="Q18" s="205" t="str">
        <f>VLOOKUP(P18,'fom-pulldowns'!$C$22:$D$31,2,FALSE)</f>
        <v>1</v>
      </c>
      <c r="R18" s="206" t="s">
        <v>625</v>
      </c>
      <c r="S18" s="205" t="str">
        <f>VLOOKUP(R18,'fom-pulldowns'!$C$35:$D$44,2,FALSE)</f>
        <v>1</v>
      </c>
    </row>
    <row r="19" spans="1:19" ht="12.75">
      <c r="A19" s="218" t="str">
        <f>HYPERLINK("https://docs.google.com/open?id=0B8aL7M45OFh_ZWNlNzhmMjUtZTFmZC00ZGUxLWJlODUtN2Y1ZWUyNzJjMzE2","Seamless SMS-Opt-in Process Online")</f>
        <v>Seamless SMS-Opt-in Process Online</v>
      </c>
      <c r="B19" s="8" t="s">
        <v>111</v>
      </c>
      <c r="C19" s="181">
        <v>40830</v>
      </c>
      <c r="D19" s="181">
        <v>40998</v>
      </c>
      <c r="E19" s="165" t="str">
        <f t="shared" si="0"/>
        <v>0.38</v>
      </c>
      <c r="F19" s="173" t="s">
        <v>614</v>
      </c>
      <c r="G19" s="183" t="str">
        <f>VLOOKUP(F19,'fom-pulldowns'!$C$9:$D$18,2,FALSE)</f>
        <v>5</v>
      </c>
      <c r="H19" s="177" t="s">
        <v>620</v>
      </c>
      <c r="I19" s="187" t="str">
        <f>VLOOKUP(H19,'fom-pulldowns'!$C$22:$D$31,2,FALSE)</f>
        <v>1</v>
      </c>
      <c r="J19" s="189" t="s">
        <v>625</v>
      </c>
      <c r="K19" s="187" t="str">
        <f>VLOOKUP(J19,'fom-pulldowns'!$C$35:$D$44,2,FALSE)</f>
        <v>1</v>
      </c>
      <c r="L19" s="192" t="s">
        <v>620</v>
      </c>
      <c r="M19" s="194" t="str">
        <f>VLOOKUP(L19,'fom-pulldowns'!$C$22:$D$31,2,FALSE)</f>
        <v>1</v>
      </c>
      <c r="N19" s="201" t="s">
        <v>625</v>
      </c>
      <c r="O19" s="194" t="str">
        <f>VLOOKUP(N19,'fom-pulldowns'!$C$35:$D$44,2,FALSE)</f>
        <v>1</v>
      </c>
      <c r="P19" s="203" t="s">
        <v>620</v>
      </c>
      <c r="Q19" s="205" t="str">
        <f>VLOOKUP(P19,'fom-pulldowns'!$C$22:$D$31,2,FALSE)</f>
        <v>1</v>
      </c>
      <c r="R19" s="206" t="s">
        <v>625</v>
      </c>
      <c r="S19" s="205" t="str">
        <f>VLOOKUP(R19,'fom-pulldowns'!$C$35:$D$44,2,FALSE)</f>
        <v>1</v>
      </c>
    </row>
    <row r="20" spans="1:19" ht="12.75">
      <c r="A20" s="346"/>
      <c r="B20" s="5"/>
      <c r="C20" s="7"/>
      <c r="D20" s="7"/>
      <c r="E20" s="165"/>
      <c r="F20" s="184"/>
      <c r="G20" s="282"/>
      <c r="H20" s="284"/>
      <c r="I20" s="316"/>
      <c r="J20" s="317"/>
      <c r="K20" s="316"/>
      <c r="L20" s="318"/>
      <c r="M20" s="277"/>
      <c r="N20" s="319"/>
      <c r="O20" s="277"/>
      <c r="P20" s="320"/>
      <c r="Q20" s="321"/>
      <c r="R20" s="322"/>
      <c r="S20" s="321"/>
    </row>
    <row r="21" spans="1:19" ht="12.75">
      <c r="A21" s="218" t="str">
        <f>HYPERLINK("https://docs.google.com/open?id=0B8aL7M45OFh_NWMxZWZlNTQtNzMxNy00ZTM4LWIzNmYtMzk1NmM2ZmE0YmIz","Recommendation engine")</f>
        <v>Recommendation engine</v>
      </c>
      <c r="B21" s="8" t="s">
        <v>133</v>
      </c>
      <c r="C21" s="181">
        <v>40918</v>
      </c>
      <c r="D21" s="181">
        <v>41090</v>
      </c>
      <c r="E21" s="165" t="e">
        <f aca="true" t="shared" si="1" ref="E21:E26">(I21+M21+Q21)/(S21+O21+K21+G21)</f>
        <v>#N/A</v>
      </c>
      <c r="F21" s="184"/>
      <c r="G21" s="183" t="e">
        <f>VLOOKUP(F21,'fom-pulldowns'!$C$9:$D$18,2,FALSE)</f>
        <v>#N/A</v>
      </c>
      <c r="H21" s="177" t="s">
        <v>696</v>
      </c>
      <c r="I21" s="187" t="str">
        <f>VLOOKUP(H21,'fom-pulldowns'!$C$22:$D$31,2,FALSE)</f>
        <v>9</v>
      </c>
      <c r="J21" s="189" t="s">
        <v>659</v>
      </c>
      <c r="K21" s="187" t="str">
        <f>VLOOKUP(J21,'fom-pulldowns'!$C$35:$D$44,2,FALSE)</f>
        <v>3</v>
      </c>
      <c r="L21" s="192" t="s">
        <v>622</v>
      </c>
      <c r="M21" s="194" t="str">
        <f>VLOOKUP(L21,'fom-pulldowns'!$C$22:$D$31,2,FALSE)</f>
        <v>5</v>
      </c>
      <c r="N21" s="201" t="s">
        <v>625</v>
      </c>
      <c r="O21" s="194" t="str">
        <f>VLOOKUP(N21,'fom-pulldowns'!$C$35:$D$44,2,FALSE)</f>
        <v>1</v>
      </c>
      <c r="P21" s="203" t="s">
        <v>599</v>
      </c>
      <c r="Q21" s="205" t="str">
        <f>VLOOKUP(P21,'fom-pulldowns'!$C$22:$D$31,2,FALSE)</f>
        <v>3</v>
      </c>
      <c r="R21" s="206" t="s">
        <v>625</v>
      </c>
      <c r="S21" s="205" t="str">
        <f>VLOOKUP(R21,'fom-pulldowns'!$C$35:$D$44,2,FALSE)</f>
        <v>1</v>
      </c>
    </row>
    <row r="22" spans="1:19" ht="12.75">
      <c r="A22" s="126" t="str">
        <f>HYPERLINK("https://docs.google.com/open?id=0B8aL7M45OFh_ZjNiZjVjOGMtZjMzZS00ZjlkLWExNTktNTBmZWNlNThmMzc2","Cart Optimization")</f>
        <v>Cart Optimization</v>
      </c>
      <c r="B22" s="8" t="s">
        <v>133</v>
      </c>
      <c r="C22" s="181">
        <v>40912</v>
      </c>
      <c r="D22" s="181">
        <v>40998</v>
      </c>
      <c r="E22" s="165" t="e">
        <f t="shared" si="1"/>
        <v>#N/A</v>
      </c>
      <c r="F22" s="184"/>
      <c r="G22" s="183" t="e">
        <f>VLOOKUP(F22,'fom-pulldowns'!$C$9:$D$18,2,FALSE)</f>
        <v>#N/A</v>
      </c>
      <c r="H22" s="177" t="s">
        <v>689</v>
      </c>
      <c r="I22" s="187" t="str">
        <f>VLOOKUP(H22,'fom-pulldowns'!$C$22:$D$31,2,FALSE)</f>
        <v>10</v>
      </c>
      <c r="J22" s="189" t="s">
        <v>650</v>
      </c>
      <c r="K22" s="187" t="str">
        <f>VLOOKUP(J22,'fom-pulldowns'!$C$35:$D$44,2,FALSE)</f>
        <v>2</v>
      </c>
      <c r="L22" s="192" t="s">
        <v>620</v>
      </c>
      <c r="M22" s="194" t="str">
        <f>VLOOKUP(L22,'fom-pulldowns'!$C$22:$D$31,2,FALSE)</f>
        <v>1</v>
      </c>
      <c r="N22" s="201" t="s">
        <v>625</v>
      </c>
      <c r="O22" s="194" t="str">
        <f>VLOOKUP(N22,'fom-pulldowns'!$C$35:$D$44,2,FALSE)</f>
        <v>1</v>
      </c>
      <c r="P22" s="203" t="s">
        <v>599</v>
      </c>
      <c r="Q22" s="205" t="str">
        <f>VLOOKUP(P22,'fom-pulldowns'!$C$22:$D$31,2,FALSE)</f>
        <v>3</v>
      </c>
      <c r="R22" s="206" t="s">
        <v>659</v>
      </c>
      <c r="S22" s="205" t="str">
        <f>VLOOKUP(R22,'fom-pulldowns'!$C$35:$D$44,2,FALSE)</f>
        <v>3</v>
      </c>
    </row>
    <row r="23" spans="1:19" ht="12.75">
      <c r="A23" s="126" t="str">
        <f>HYPERLINK("https://docs.google.com/open?id=0B8aL7M45OFh_Zjg4YzUxM2MtMTU4Mi00Y2Y4LWJlMWItNjRkOTNkMGIwM2Zl","Gift Card Bug Fix")</f>
        <v>Gift Card Bug Fix</v>
      </c>
      <c r="B23" s="8" t="s">
        <v>133</v>
      </c>
      <c r="C23" s="181">
        <v>40923</v>
      </c>
      <c r="D23" s="181">
        <v>41030</v>
      </c>
      <c r="E23" s="165" t="e">
        <f t="shared" si="1"/>
        <v>#N/A</v>
      </c>
      <c r="F23" s="184"/>
      <c r="G23" s="183" t="e">
        <f>VLOOKUP(F23,'fom-pulldowns'!$C$9:$D$18,2,FALSE)</f>
        <v>#N/A</v>
      </c>
      <c r="H23" s="177" t="s">
        <v>620</v>
      </c>
      <c r="I23" s="187" t="str">
        <f>VLOOKUP(H23,'fom-pulldowns'!$C$22:$D$31,2,FALSE)</f>
        <v>1</v>
      </c>
      <c r="J23" s="189" t="s">
        <v>625</v>
      </c>
      <c r="K23" s="187" t="str">
        <f>VLOOKUP(J23,'fom-pulldowns'!$C$35:$D$44,2,FALSE)</f>
        <v>1</v>
      </c>
      <c r="L23" s="192" t="s">
        <v>620</v>
      </c>
      <c r="M23" s="194" t="str">
        <f>VLOOKUP(L23,'fom-pulldowns'!$C$22:$D$31,2,FALSE)</f>
        <v>1</v>
      </c>
      <c r="N23" s="201" t="s">
        <v>625</v>
      </c>
      <c r="O23" s="194" t="str">
        <f>VLOOKUP(N9,'fom-pulldowns'!$C$35:$D$44,2,FALSE)</f>
        <v>1</v>
      </c>
      <c r="P23" s="203" t="s">
        <v>620</v>
      </c>
      <c r="Q23" s="205" t="str">
        <f>VLOOKUP(P23,'fom-pulldowns'!$C$22:$D$31,2,FALSE)</f>
        <v>1</v>
      </c>
      <c r="R23" s="206" t="s">
        <v>625</v>
      </c>
      <c r="S23" s="205" t="str">
        <f>VLOOKUP(R23,'fom-pulldowns'!$C$35:$D$44,2,FALSE)</f>
        <v>1</v>
      </c>
    </row>
    <row r="24" spans="1:19" ht="12.75">
      <c r="A24" s="126" t="str">
        <f>HYPERLINK("https://docs.google.com/open?id=0B8aL7M45OFh_Y2U0NjBhNzAtYWMyNC00ZGFhLWI2MmEtYjA3MDUzNTVhYjE4","Google Trusted Store*")</f>
        <v>Google Trusted Store*</v>
      </c>
      <c r="B24" s="5"/>
      <c r="C24" s="7"/>
      <c r="D24" s="7"/>
      <c r="E24" s="165" t="e">
        <f t="shared" si="1"/>
        <v>#N/A</v>
      </c>
      <c r="F24" s="184"/>
      <c r="G24" s="183" t="e">
        <f>VLOOKUP(F24,'fom-pulldowns'!$C$9:$D$18,2,FALSE)</f>
        <v>#N/A</v>
      </c>
      <c r="H24" s="177" t="s">
        <v>689</v>
      </c>
      <c r="I24" s="187" t="str">
        <f>VLOOKUP(H24,'fom-pulldowns'!$C$22:$D$31,2,FALSE)</f>
        <v>10</v>
      </c>
      <c r="J24" s="189" t="s">
        <v>625</v>
      </c>
      <c r="K24" s="187" t="str">
        <f>VLOOKUP(J24,'fom-pulldowns'!$C$35:$D$44,2,FALSE)</f>
        <v>1</v>
      </c>
      <c r="L24" s="192" t="s">
        <v>620</v>
      </c>
      <c r="M24" s="194" t="str">
        <f>VLOOKUP(L24,'fom-pulldowns'!$C$22:$D$31,2,FALSE)</f>
        <v>1</v>
      </c>
      <c r="N24" s="201" t="s">
        <v>625</v>
      </c>
      <c r="O24" s="194" t="str">
        <f>VLOOKUP(N24,'fom-pulldowns'!$C$35:$D$44,2,FALSE)</f>
        <v>1</v>
      </c>
      <c r="P24" s="203" t="s">
        <v>620</v>
      </c>
      <c r="Q24" s="205" t="str">
        <f>VLOOKUP(P24,'fom-pulldowns'!$C$22:$D$31,2,FALSE)</f>
        <v>1</v>
      </c>
      <c r="R24" s="206" t="s">
        <v>625</v>
      </c>
      <c r="S24" s="205" t="str">
        <f>VLOOKUP(R24,'fom-pulldowns'!$C$35:$D$44,2,FALSE)</f>
        <v>1</v>
      </c>
    </row>
    <row r="25" spans="1:19" ht="12.75">
      <c r="A25" s="126" t="str">
        <f>HYPERLINK("https://docs.google.com/open?id=0B8aL7M45OFh_NjE0N2I4YTgtZGFmMS00YjU4LWJhYWUtYTdlMmUyNzQyNDNh","Trendyr, APAC*")</f>
        <v>Trendyr, APAC*</v>
      </c>
      <c r="B25" s="5"/>
      <c r="C25" s="7"/>
      <c r="D25" s="7"/>
      <c r="E25" s="165" t="e">
        <f t="shared" si="1"/>
        <v>#N/A</v>
      </c>
      <c r="F25" s="184"/>
      <c r="G25" s="183" t="e">
        <f>VLOOKUP(F25,'fom-pulldowns'!$C$9:$D$18,2,FALSE)</f>
        <v>#N/A</v>
      </c>
      <c r="H25" s="177" t="s">
        <v>620</v>
      </c>
      <c r="I25" s="187" t="str">
        <f>VLOOKUP(H25,'fom-pulldowns'!$C$22:$D$31,2,FALSE)</f>
        <v>1</v>
      </c>
      <c r="J25" s="189" t="s">
        <v>625</v>
      </c>
      <c r="K25" s="187" t="str">
        <f>VLOOKUP(J25,'fom-pulldowns'!$C$35:$D$44,2,FALSE)</f>
        <v>1</v>
      </c>
      <c r="L25" s="192" t="s">
        <v>620</v>
      </c>
      <c r="M25" s="194" t="str">
        <f>VLOOKUP(L25,'fom-pulldowns'!$C$22:$D$31,2,FALSE)</f>
        <v>1</v>
      </c>
      <c r="N25" s="201" t="s">
        <v>625</v>
      </c>
      <c r="O25" s="194" t="str">
        <f>VLOOKUP(N25,'fom-pulldowns'!$C$35:$D$44,2,FALSE)</f>
        <v>1</v>
      </c>
      <c r="P25" s="203" t="s">
        <v>620</v>
      </c>
      <c r="Q25" s="205" t="str">
        <f>VLOOKUP(P25,'fom-pulldowns'!$C$22:$D$31,2,FALSE)</f>
        <v>1</v>
      </c>
      <c r="R25" s="206" t="s">
        <v>625</v>
      </c>
      <c r="S25" s="205" t="str">
        <f>VLOOKUP(R25,'fom-pulldowns'!$C$35:$D$44,2,FALSE)</f>
        <v>1</v>
      </c>
    </row>
    <row r="26" spans="1:19" ht="12.75">
      <c r="A26" s="5"/>
      <c r="B26" s="5"/>
      <c r="C26" s="7"/>
      <c r="D26" s="7"/>
      <c r="E26" s="165" t="e">
        <f t="shared" si="1"/>
        <v>#N/A</v>
      </c>
      <c r="F26" s="184"/>
      <c r="G26" s="183" t="e">
        <f>VLOOKUP(F26,'fom-pulldowns'!$C$9:$D$18,2,FALSE)</f>
        <v>#N/A</v>
      </c>
      <c r="H26" s="177" t="s">
        <v>620</v>
      </c>
      <c r="I26" s="187" t="str">
        <f>VLOOKUP(H26,'fom-pulldowns'!$C$22:$D$31,2,FALSE)</f>
        <v>1</v>
      </c>
      <c r="J26" s="189" t="s">
        <v>625</v>
      </c>
      <c r="K26" s="187" t="str">
        <f>VLOOKUP(J26,'fom-pulldowns'!$C$35:$D$44,2,FALSE)</f>
        <v>1</v>
      </c>
      <c r="L26" s="192" t="s">
        <v>620</v>
      </c>
      <c r="M26" s="194" t="str">
        <f>VLOOKUP(L26,'fom-pulldowns'!$C$22:$D$31,2,FALSE)</f>
        <v>1</v>
      </c>
      <c r="N26" s="201" t="s">
        <v>625</v>
      </c>
      <c r="O26" s="194" t="str">
        <f>VLOOKUP(N26,'fom-pulldowns'!$C$35:$D$44,2,FALSE)</f>
        <v>1</v>
      </c>
      <c r="P26" s="203" t="s">
        <v>620</v>
      </c>
      <c r="Q26" s="205" t="str">
        <f>VLOOKUP(P26,'fom-pulldowns'!$C$22:$D$31,2,FALSE)</f>
        <v>1</v>
      </c>
      <c r="R26" s="206" t="s">
        <v>625</v>
      </c>
      <c r="S26" s="205" t="str">
        <f>VLOOKUP(R26,'fom-pulldowns'!$C$35:$D$44,2,FALSE)</f>
        <v>1</v>
      </c>
    </row>
    <row r="27" spans="1:19" ht="12.75">
      <c r="A27" s="21"/>
      <c r="B27" s="21"/>
      <c r="C27" s="324"/>
      <c r="D27" s="324"/>
      <c r="E27" s="325"/>
      <c r="F27" s="326"/>
      <c r="G27" s="326"/>
      <c r="H27" s="327"/>
      <c r="I27" s="328"/>
      <c r="J27" s="328"/>
      <c r="K27" s="328"/>
      <c r="L27" s="329"/>
      <c r="M27" s="330"/>
      <c r="N27" s="330"/>
      <c r="O27" s="331"/>
      <c r="P27" s="332"/>
      <c r="Q27" s="333"/>
      <c r="R27" s="333"/>
      <c r="S27" s="334"/>
    </row>
    <row r="28" spans="3:19" ht="12.75">
      <c r="C28" s="246"/>
      <c r="D28" s="246"/>
      <c r="E28" s="335"/>
      <c r="F28" s="336"/>
      <c r="G28" s="336"/>
      <c r="H28" s="337"/>
      <c r="I28" s="338"/>
      <c r="J28" s="338"/>
      <c r="K28" s="338"/>
      <c r="L28" s="339"/>
      <c r="M28" s="340"/>
      <c r="N28" s="340"/>
      <c r="O28" s="341"/>
      <c r="P28" s="354"/>
      <c r="Q28" s="355"/>
      <c r="R28" s="355"/>
      <c r="S28" s="356"/>
    </row>
    <row r="29" spans="3:19" ht="12.75">
      <c r="C29" s="246"/>
      <c r="D29" s="246"/>
      <c r="E29" s="335"/>
      <c r="F29" s="336"/>
      <c r="G29" s="336"/>
      <c r="H29" s="337"/>
      <c r="I29" s="338"/>
      <c r="J29" s="338"/>
      <c r="K29" s="338"/>
      <c r="L29" s="339"/>
      <c r="M29" s="340"/>
      <c r="N29" s="340"/>
      <c r="O29" s="341"/>
      <c r="P29" s="354"/>
      <c r="Q29" s="355"/>
      <c r="R29" s="355"/>
      <c r="S29" s="356"/>
    </row>
    <row r="30" spans="3:19" ht="12.75">
      <c r="C30" s="246"/>
      <c r="D30" s="246"/>
      <c r="E30" s="335"/>
      <c r="F30" s="336"/>
      <c r="G30" s="336"/>
      <c r="H30" s="337"/>
      <c r="I30" s="338"/>
      <c r="J30" s="338"/>
      <c r="K30" s="338"/>
      <c r="L30" s="339"/>
      <c r="M30" s="340"/>
      <c r="N30" s="340"/>
      <c r="O30" s="341"/>
      <c r="P30" s="354"/>
      <c r="Q30" s="355"/>
      <c r="R30" s="355"/>
      <c r="S30" s="356"/>
    </row>
    <row r="31" spans="3:19" ht="12.75">
      <c r="C31" s="246"/>
      <c r="D31" s="246"/>
      <c r="E31" s="335"/>
      <c r="F31" s="336"/>
      <c r="G31" s="336"/>
      <c r="H31" s="337"/>
      <c r="I31" s="338"/>
      <c r="J31" s="338"/>
      <c r="K31" s="338"/>
      <c r="L31" s="339"/>
      <c r="M31" s="340"/>
      <c r="N31" s="340"/>
      <c r="O31" s="341"/>
      <c r="P31" s="354"/>
      <c r="Q31" s="355"/>
      <c r="R31" s="355"/>
      <c r="S31" s="356"/>
    </row>
    <row r="32" spans="3:19" ht="12.75">
      <c r="C32" s="246"/>
      <c r="D32" s="246"/>
      <c r="E32" s="335"/>
      <c r="F32" s="336"/>
      <c r="G32" s="336"/>
      <c r="H32" s="337"/>
      <c r="I32" s="338"/>
      <c r="J32" s="338"/>
      <c r="K32" s="338"/>
      <c r="L32" s="339"/>
      <c r="M32" s="340"/>
      <c r="N32" s="340"/>
      <c r="O32" s="341"/>
      <c r="P32" s="354"/>
      <c r="Q32" s="355"/>
      <c r="R32" s="355"/>
      <c r="S32" s="356"/>
    </row>
    <row r="33" spans="3:19" ht="12.75">
      <c r="C33" s="246"/>
      <c r="D33" s="246"/>
      <c r="E33" s="335"/>
      <c r="F33" s="336"/>
      <c r="G33" s="336"/>
      <c r="H33" s="337"/>
      <c r="I33" s="338"/>
      <c r="J33" s="338"/>
      <c r="K33" s="338"/>
      <c r="L33" s="339"/>
      <c r="M33" s="340"/>
      <c r="N33" s="340"/>
      <c r="O33" s="341"/>
      <c r="P33" s="354"/>
      <c r="Q33" s="355"/>
      <c r="R33" s="355"/>
      <c r="S33" s="356"/>
    </row>
    <row r="34" spans="3:19" ht="12.75">
      <c r="C34" s="246"/>
      <c r="D34" s="246"/>
      <c r="E34" s="335"/>
      <c r="F34" s="336"/>
      <c r="G34" s="336"/>
      <c r="H34" s="337"/>
      <c r="I34" s="338"/>
      <c r="J34" s="338"/>
      <c r="K34" s="338"/>
      <c r="L34" s="339"/>
      <c r="M34" s="340"/>
      <c r="N34" s="340"/>
      <c r="O34" s="341"/>
      <c r="P34" s="354"/>
      <c r="Q34" s="355"/>
      <c r="R34" s="355"/>
      <c r="S34" s="356"/>
    </row>
    <row r="35" spans="3:19" ht="12.75">
      <c r="C35" s="246"/>
      <c r="D35" s="246"/>
      <c r="E35" s="335"/>
      <c r="F35" s="336"/>
      <c r="G35" s="336"/>
      <c r="H35" s="337"/>
      <c r="I35" s="338"/>
      <c r="J35" s="338"/>
      <c r="K35" s="338"/>
      <c r="L35" s="339"/>
      <c r="M35" s="340"/>
      <c r="N35" s="340"/>
      <c r="O35" s="341"/>
      <c r="P35" s="354"/>
      <c r="Q35" s="355"/>
      <c r="R35" s="355"/>
      <c r="S35" s="356"/>
    </row>
    <row r="36" spans="3:19" ht="12.75">
      <c r="C36" s="246"/>
      <c r="D36" s="246"/>
      <c r="E36" s="335"/>
      <c r="F36" s="336"/>
      <c r="G36" s="336"/>
      <c r="H36" s="337"/>
      <c r="I36" s="338"/>
      <c r="J36" s="338"/>
      <c r="K36" s="338"/>
      <c r="L36" s="339"/>
      <c r="M36" s="340"/>
      <c r="N36" s="340"/>
      <c r="O36" s="341"/>
      <c r="P36" s="354"/>
      <c r="Q36" s="355"/>
      <c r="R36" s="355"/>
      <c r="S36" s="356"/>
    </row>
    <row r="37" spans="3:19" ht="12.75">
      <c r="C37" s="246"/>
      <c r="D37" s="246"/>
      <c r="E37" s="335"/>
      <c r="F37" s="336"/>
      <c r="G37" s="336"/>
      <c r="H37" s="337"/>
      <c r="I37" s="338"/>
      <c r="J37" s="338"/>
      <c r="K37" s="338"/>
      <c r="L37" s="339"/>
      <c r="M37" s="340"/>
      <c r="N37" s="340"/>
      <c r="O37" s="341"/>
      <c r="P37" s="354"/>
      <c r="Q37" s="355"/>
      <c r="R37" s="355"/>
      <c r="S37" s="356"/>
    </row>
    <row r="38" spans="3:19" ht="12.75">
      <c r="C38" s="246"/>
      <c r="D38" s="246"/>
      <c r="E38" s="335"/>
      <c r="F38" s="336"/>
      <c r="G38" s="336"/>
      <c r="H38" s="337"/>
      <c r="I38" s="338"/>
      <c r="J38" s="338"/>
      <c r="K38" s="338"/>
      <c r="L38" s="339"/>
      <c r="M38" s="340"/>
      <c r="N38" s="340"/>
      <c r="O38" s="341"/>
      <c r="P38" s="354"/>
      <c r="Q38" s="355"/>
      <c r="R38" s="355"/>
      <c r="S38" s="356"/>
    </row>
    <row r="39" spans="3:19" ht="12.75">
      <c r="C39" s="246"/>
      <c r="D39" s="246"/>
      <c r="E39" s="335"/>
      <c r="F39" s="336"/>
      <c r="G39" s="336"/>
      <c r="H39" s="337"/>
      <c r="I39" s="338"/>
      <c r="J39" s="338"/>
      <c r="K39" s="338"/>
      <c r="L39" s="339"/>
      <c r="M39" s="340"/>
      <c r="N39" s="340"/>
      <c r="O39" s="341"/>
      <c r="P39" s="354"/>
      <c r="Q39" s="355"/>
      <c r="R39" s="355"/>
      <c r="S39" s="356"/>
    </row>
    <row r="40" spans="3:19" ht="12.75">
      <c r="C40" s="246"/>
      <c r="D40" s="246"/>
      <c r="E40" s="335"/>
      <c r="F40" s="336"/>
      <c r="G40" s="336"/>
      <c r="H40" s="337"/>
      <c r="I40" s="338"/>
      <c r="J40" s="338"/>
      <c r="K40" s="338"/>
      <c r="L40" s="339"/>
      <c r="M40" s="340"/>
      <c r="N40" s="340"/>
      <c r="O40" s="341"/>
      <c r="P40" s="354"/>
      <c r="Q40" s="355"/>
      <c r="R40" s="355"/>
      <c r="S40" s="356"/>
    </row>
    <row r="41" spans="3:19" ht="12.75">
      <c r="C41" s="246"/>
      <c r="D41" s="246"/>
      <c r="E41" s="335"/>
      <c r="F41" s="336"/>
      <c r="G41" s="336"/>
      <c r="H41" s="337"/>
      <c r="I41" s="338"/>
      <c r="J41" s="338"/>
      <c r="K41" s="338"/>
      <c r="L41" s="339"/>
      <c r="M41" s="340"/>
      <c r="N41" s="340"/>
      <c r="O41" s="341"/>
      <c r="P41" s="354"/>
      <c r="Q41" s="355"/>
      <c r="R41" s="355"/>
      <c r="S41" s="356"/>
    </row>
    <row r="42" spans="3:19" ht="12.75">
      <c r="C42" s="246"/>
      <c r="D42" s="246"/>
      <c r="E42" s="335"/>
      <c r="F42" s="336"/>
      <c r="G42" s="336"/>
      <c r="H42" s="337"/>
      <c r="I42" s="338"/>
      <c r="J42" s="338"/>
      <c r="K42" s="338"/>
      <c r="L42" s="339"/>
      <c r="M42" s="340"/>
      <c r="N42" s="340"/>
      <c r="O42" s="341"/>
      <c r="P42" s="354"/>
      <c r="Q42" s="355"/>
      <c r="R42" s="355"/>
      <c r="S42" s="356"/>
    </row>
    <row r="43" spans="3:19" ht="12.75">
      <c r="C43" s="246"/>
      <c r="D43" s="246"/>
      <c r="E43" s="335"/>
      <c r="F43" s="336"/>
      <c r="G43" s="336"/>
      <c r="H43" s="337"/>
      <c r="I43" s="338"/>
      <c r="J43" s="338"/>
      <c r="K43" s="338"/>
      <c r="L43" s="339"/>
      <c r="M43" s="340"/>
      <c r="N43" s="340"/>
      <c r="O43" s="341"/>
      <c r="P43" s="354"/>
      <c r="Q43" s="355"/>
      <c r="R43" s="355"/>
      <c r="S43" s="356"/>
    </row>
    <row r="44" spans="3:19" ht="12.75">
      <c r="C44" s="246"/>
      <c r="D44" s="246"/>
      <c r="E44" s="335"/>
      <c r="F44" s="336"/>
      <c r="G44" s="336"/>
      <c r="H44" s="337"/>
      <c r="I44" s="338"/>
      <c r="J44" s="338"/>
      <c r="K44" s="338"/>
      <c r="L44" s="339"/>
      <c r="M44" s="340"/>
      <c r="N44" s="340"/>
      <c r="O44" s="341"/>
      <c r="P44" s="354"/>
      <c r="Q44" s="355"/>
      <c r="R44" s="355"/>
      <c r="S44" s="356"/>
    </row>
    <row r="45" spans="3:19" ht="12.75">
      <c r="C45" s="246"/>
      <c r="D45" s="246"/>
      <c r="E45" s="335"/>
      <c r="F45" s="336"/>
      <c r="G45" s="336"/>
      <c r="H45" s="337"/>
      <c r="I45" s="338"/>
      <c r="J45" s="338"/>
      <c r="K45" s="338"/>
      <c r="L45" s="339"/>
      <c r="M45" s="340"/>
      <c r="N45" s="340"/>
      <c r="O45" s="341"/>
      <c r="P45" s="354"/>
      <c r="Q45" s="355"/>
      <c r="R45" s="355"/>
      <c r="S45" s="356"/>
    </row>
    <row r="46" spans="3:19" ht="12.75">
      <c r="C46" s="246"/>
      <c r="D46" s="246"/>
      <c r="E46" s="335"/>
      <c r="F46" s="336"/>
      <c r="G46" s="336"/>
      <c r="H46" s="337"/>
      <c r="I46" s="338"/>
      <c r="J46" s="338"/>
      <c r="K46" s="338"/>
      <c r="L46" s="339"/>
      <c r="M46" s="340"/>
      <c r="N46" s="340"/>
      <c r="O46" s="341"/>
      <c r="P46" s="342"/>
      <c r="Q46" s="343"/>
      <c r="R46" s="343"/>
      <c r="S46" s="344"/>
    </row>
    <row r="47" spans="3:19" ht="12.75">
      <c r="C47" s="246"/>
      <c r="D47" s="246"/>
      <c r="E47" s="345"/>
      <c r="F47" s="345"/>
      <c r="G47" s="345"/>
      <c r="H47" s="345"/>
      <c r="P47" s="21"/>
      <c r="Q47" s="21"/>
      <c r="R47" s="21"/>
      <c r="S47" s="21"/>
    </row>
    <row r="48" spans="3:8" ht="12.75">
      <c r="C48" s="246"/>
      <c r="D48" s="246"/>
      <c r="E48" s="345"/>
      <c r="F48" s="345"/>
      <c r="G48" s="345"/>
      <c r="H48" s="345"/>
    </row>
    <row r="49" spans="3:8" ht="12.75">
      <c r="C49" s="246"/>
      <c r="D49" s="246"/>
      <c r="E49" s="345"/>
      <c r="F49" s="345"/>
      <c r="G49" s="345"/>
      <c r="H49" s="345"/>
    </row>
    <row r="50" spans="3:8" ht="12.75">
      <c r="C50" s="246"/>
      <c r="D50" s="246"/>
      <c r="E50" s="345"/>
      <c r="F50" s="345"/>
      <c r="G50" s="345"/>
      <c r="H50" s="345"/>
    </row>
  </sheetData>
  <mergeCells count="9">
    <mergeCell ref="B1:B2"/>
    <mergeCell ref="A1:A2"/>
    <mergeCell ref="C1:C2"/>
    <mergeCell ref="D1:D2"/>
    <mergeCell ref="E1:E2"/>
    <mergeCell ref="F1:G1"/>
    <mergeCell ref="H1:K1"/>
    <mergeCell ref="L1:O1"/>
    <mergeCell ref="P1:S1"/>
  </mergeCells>
  <dataValidations count="4">
    <dataValidation type="list" allowBlank="1" showErrorMessage="1" sqref="F3:F26">
      <formula1>'APM w Legend'!$C$10:$C$19</formula1>
    </dataValidation>
    <dataValidation type="list" allowBlank="1" showErrorMessage="1" sqref="H3:H26 L3:L26 P3:P26">
      <formula1>'APM w Legend'!$C$22:$C$31</formula1>
    </dataValidation>
    <dataValidation type="list" allowBlank="1" showErrorMessage="1" sqref="J3:J26 R3:R26">
      <formula1>'APM w Legend'!$C$35:$C$44</formula1>
    </dataValidation>
    <dataValidation type="list" allowBlank="1" showInputMessage="1" showErrorMessage="1" prompt="Click and enter a value from range 'fom-pulldowns'!C35:C44" sqref="N3:N26">
      <formula1>'APM w Legend'!$C$35:$C$44</formula1>
    </dataValidation>
  </dataValidations>
  <hyperlinks>
    <hyperlink ref="A9" r:id="rId1" display="https://docs.google.com/open?id=0B8aL7M45OFh_MjQ2ZDFlMWEtNzRmYS00M2QzLTkyMTEtY2ZmM2MyYjhjMzcw"/>
    <hyperlink ref="A10" r:id="rId2" display="https://docs.google.com/leaf?id=0B8aL7M45OFh_YTc0NjNjMzMtZWMyMi00M2VlLTg5MmItYWY3ODVjYjRlZjc1&amp;hl=en&amp;authkey=CJ3DpoEB"/>
    <hyperlink ref="A11" r:id="rId3" display="https://docs.google.com/leaf?id=0B8aL7M45OFh_YzMxMmRmMzgtYTc4Yi00MjEyLWFmMTQtNDI5Y2Y5OGNiM2Ez&amp;hl=en_US"/>
    <hyperlink ref="A12" r:id="rId4" display="https://docs.google.com/open?id=0B8aL7M45OFh_NThiZmYzZGItZGZkZC00MTU4LThkYjItMGY0NjBjMmE0ZTFh"/>
    <hyperlink ref="A13" r:id="rId5" display="https://docs.google.com/leaf?id=0B8aL7M45OFh_NWVlMzBhODYtOTg2Ny00NjljLWIzMmUtY2Q2ZjAzY2VjODRh&amp;hl=en_US&amp;authkey=CIXEreAI"/>
    <hyperlink ref="A14" r:id="rId6" display="https://docs.google.com/leaf?id=0B8aL7M45OFh_MmQ5NjdkN2MtYmExYi00YzI3LWJlNWMtN2YxZWMxZGJkZjQ4&amp;hl=en_US&amp;authkey=CPunlMYO"/>
    <hyperlink ref="A15" r:id="rId7" display="https://docs.google.com/leaf?id=0B8aL7M45OFh_MTY0NjQxZTUtZjdkYy00ZjFjLThjN2EtNjQyZDEyNjU0YWU5&amp;hl=en&amp;authkey=CJSRuaMD"/>
    <hyperlink ref="A16" r:id="rId8" display="https://docs.google.com/open?id=0B8aL7M45OFh_MzE0N2I4MmUtNTEwMC00NDg3LWFhZDgtODBlZGFhMTgxYTgy"/>
    <hyperlink ref="A17" r:id="rId9" display="https://docs.google.com/open?id=0B8aL7M45OFh_MDVkYWZkZGMtMzQ1Yy00ODI4LTg5N2QtZDAxMDQ4NzM2M2E5"/>
    <hyperlink ref="A18" r:id="rId10" display="https://docs.google.com/open?id=0B8aL7M45OFh_NjQ1MmNkNTUtYzc1MS00YWQ0LWJmZTctNDE3NzIzMzY1MzA1"/>
    <hyperlink ref="A19" r:id="rId11" display="https://docs.google.com/open?id=0B8aL7M45OFh_ZWNlNzhmMjUtZTFmZC00ZGUxLWJlODUtN2Y1ZWUyNzJjMzE2"/>
    <hyperlink ref="A21" r:id="rId12" display="https://docs.google.com/open?id=0B8aL7M45OFh_NWMxZWZlNTQtNzMxNy00ZTM4LWIzNmYtMzk1NmM2ZmE0YmIz"/>
    <hyperlink ref="A22" r:id="rId13" display="https://docs.google.com/open?id=0B8aL7M45OFh_ZjNiZjVjOGMtZjMzZS00ZjlkLWExNTktNTBmZWNlNThmMzc2"/>
    <hyperlink ref="A23" r:id="rId14" display="https://docs.google.com/open?id=0B8aL7M45OFh_Zjg4YzUxM2MtMTU4Mi00Y2Y4LWJlMWItNjRkOTNkMGIwM2Zl"/>
    <hyperlink ref="A24" r:id="rId15" display="https://docs.google.com/open?id=0B8aL7M45OFh_Y2U0NjBhNzAtYWMyNC00ZGFhLWI2MmEtYjA3MDUzNTVhYjE4"/>
    <hyperlink ref="A25" r:id="rId16" display="https://docs.google.com/open?id=0B8aL7M45OFh_NjE0N2I4YTgtZGFmMS00YjU4LWJhYWUtYTdlMmUyNzQyNDNh"/>
  </hyperlink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F10"/>
  <sheetViews>
    <sheetView workbookViewId="0" topLeftCell="A1">
      <pane ySplit="1" topLeftCell="A2" activePane="bottomLeft" state="frozen"/>
      <selection pane="bottomLeft" activeCell="B3" sqref="B3"/>
    </sheetView>
  </sheetViews>
  <sheetFormatPr defaultColWidth="14.421875" defaultRowHeight="12.75" customHeight="1"/>
  <cols>
    <col min="1" max="5" width="9.28125" style="0" customWidth="1"/>
    <col min="6" max="6" width="23.57421875" style="0" customWidth="1"/>
  </cols>
  <sheetData>
    <row r="1" spans="1:6" ht="12" customHeight="1">
      <c r="A1" s="18" t="s">
        <v>13</v>
      </c>
      <c r="B1" s="20" t="s">
        <v>98</v>
      </c>
      <c r="C1" s="18" t="s">
        <v>108</v>
      </c>
      <c r="D1" s="20" t="s">
        <v>98</v>
      </c>
      <c r="E1" s="18" t="s">
        <v>33</v>
      </c>
      <c r="F1" s="20" t="s">
        <v>98</v>
      </c>
    </row>
    <row r="2" spans="1:6" ht="12" customHeight="1">
      <c r="A2" s="22" t="s">
        <v>109</v>
      </c>
      <c r="B2" s="24" t="s">
        <v>111</v>
      </c>
      <c r="C2" s="22" t="s">
        <v>116</v>
      </c>
      <c r="D2" s="24" t="s">
        <v>117</v>
      </c>
      <c r="E2" s="22" t="s">
        <v>118</v>
      </c>
      <c r="F2" s="24" t="s">
        <v>119</v>
      </c>
    </row>
    <row r="3" spans="1:6" ht="12" customHeight="1">
      <c r="A3" s="22" t="s">
        <v>120</v>
      </c>
      <c r="B3" s="24" t="s">
        <v>121</v>
      </c>
      <c r="C3" s="22" t="s">
        <v>122</v>
      </c>
      <c r="D3" s="24" t="s">
        <v>123</v>
      </c>
      <c r="E3" s="22" t="s">
        <v>124</v>
      </c>
      <c r="F3" s="24" t="s">
        <v>125</v>
      </c>
    </row>
    <row r="4" spans="1:6" ht="12" customHeight="1">
      <c r="A4" s="22" t="s">
        <v>126</v>
      </c>
      <c r="B4" s="24" t="s">
        <v>126</v>
      </c>
      <c r="C4" s="22" t="s">
        <v>128</v>
      </c>
      <c r="D4" s="24" t="s">
        <v>129</v>
      </c>
      <c r="E4" s="22" t="s">
        <v>130</v>
      </c>
      <c r="F4" s="24" t="s">
        <v>131</v>
      </c>
    </row>
    <row r="5" spans="1:6" ht="12" customHeight="1">
      <c r="A5" s="22" t="s">
        <v>132</v>
      </c>
      <c r="B5" s="24" t="s">
        <v>133</v>
      </c>
      <c r="C5" s="22" t="s">
        <v>134</v>
      </c>
      <c r="D5" s="24" t="s">
        <v>135</v>
      </c>
      <c r="E5" s="22" t="s">
        <v>136</v>
      </c>
      <c r="F5" s="24" t="s">
        <v>137</v>
      </c>
    </row>
    <row r="6" spans="1:6" ht="12" customHeight="1">
      <c r="A6" s="26"/>
      <c r="B6" s="54"/>
      <c r="C6" s="55" t="s">
        <v>171</v>
      </c>
      <c r="D6" s="132" t="s">
        <v>172</v>
      </c>
      <c r="E6" s="22" t="s">
        <v>444</v>
      </c>
      <c r="F6" s="24" t="s">
        <v>445</v>
      </c>
    </row>
    <row r="7" spans="1:6" ht="12" customHeight="1">
      <c r="A7" s="21"/>
      <c r="B7" s="21"/>
      <c r="C7" s="21"/>
      <c r="D7" s="133"/>
      <c r="E7" s="22" t="s">
        <v>453</v>
      </c>
      <c r="F7" s="24" t="s">
        <v>454</v>
      </c>
    </row>
    <row r="8" spans="4:6" ht="12" customHeight="1">
      <c r="D8" s="117"/>
      <c r="E8" s="22" t="s">
        <v>457</v>
      </c>
      <c r="F8" s="24" t="s">
        <v>458</v>
      </c>
    </row>
    <row r="9" spans="4:6" ht="12" customHeight="1">
      <c r="D9" s="117"/>
      <c r="E9" s="55" t="s">
        <v>459</v>
      </c>
      <c r="F9" s="132" t="s">
        <v>461</v>
      </c>
    </row>
    <row r="10" spans="5:6" ht="12" customHeight="1">
      <c r="E10" s="21"/>
      <c r="F10" s="21"/>
    </row>
    <row r="11" ht="12" customHeight="1"/>
    <row r="12" ht="12" customHeight="1"/>
    <row r="13" ht="12" customHeight="1"/>
    <row r="14" ht="12" customHeight="1"/>
    <row r="15" ht="12" customHeight="1"/>
    <row r="16" ht="12" customHeight="1"/>
    <row r="17" ht="12" customHeight="1"/>
    <row r="18" ht="12" customHeight="1"/>
    <row r="19" ht="12" customHeight="1"/>
    <row r="20" ht="12" customHeight="1"/>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T44"/>
  <sheetViews>
    <sheetView workbookViewId="0" topLeftCell="A1"/>
  </sheetViews>
  <sheetFormatPr defaultColWidth="14.421875" defaultRowHeight="12.75" customHeight="1"/>
  <cols>
    <col min="1" max="1" width="12.8515625" style="0" customWidth="1"/>
    <col min="2" max="2" width="20.7109375" style="0" customWidth="1"/>
    <col min="3" max="3" width="31.8515625" style="0" customWidth="1"/>
    <col min="4" max="4" width="7.421875" style="0" customWidth="1"/>
    <col min="5" max="5" width="6.8515625" style="0" customWidth="1"/>
    <col min="6" max="6" width="38.140625" style="0" customWidth="1"/>
    <col min="7" max="20" width="17.28125" style="0" customWidth="1"/>
  </cols>
  <sheetData>
    <row r="1" spans="1:20" ht="12.75" hidden="1">
      <c r="A1" s="1" t="s">
        <v>90</v>
      </c>
      <c r="B1" s="1" t="s">
        <v>91</v>
      </c>
      <c r="C1" s="1" t="s">
        <v>92</v>
      </c>
      <c r="D1" s="1" t="s">
        <v>93</v>
      </c>
      <c r="E1" s="9"/>
      <c r="F1" s="10"/>
      <c r="G1" s="10"/>
      <c r="H1" s="10"/>
      <c r="I1" s="10"/>
      <c r="J1" s="10"/>
      <c r="K1" s="10"/>
      <c r="L1" s="10"/>
      <c r="M1" s="10"/>
      <c r="N1" s="10"/>
      <c r="O1" s="10"/>
      <c r="P1" s="10"/>
      <c r="Q1" s="10"/>
      <c r="R1" s="10"/>
      <c r="S1" s="10"/>
      <c r="T1" s="10"/>
    </row>
    <row r="2" spans="1:5" ht="12.75" hidden="1">
      <c r="A2" s="8" t="s">
        <v>94</v>
      </c>
      <c r="B2" s="8" t="s">
        <v>95</v>
      </c>
      <c r="C2" s="8" t="s">
        <v>96</v>
      </c>
      <c r="D2" s="8">
        <v>5</v>
      </c>
      <c r="E2" s="19"/>
    </row>
    <row r="3" spans="1:5" ht="12.75" hidden="1">
      <c r="A3" s="8" t="s">
        <v>99</v>
      </c>
      <c r="B3" s="8" t="s">
        <v>100</v>
      </c>
      <c r="C3" s="8" t="s">
        <v>101</v>
      </c>
      <c r="D3" s="8">
        <v>3</v>
      </c>
      <c r="E3" s="19"/>
    </row>
    <row r="4" spans="1:5" ht="12.75" hidden="1">
      <c r="A4" s="8" t="s">
        <v>102</v>
      </c>
      <c r="B4" s="8" t="s">
        <v>103</v>
      </c>
      <c r="C4" s="8" t="s">
        <v>104</v>
      </c>
      <c r="D4" s="8">
        <v>2</v>
      </c>
      <c r="E4" s="19"/>
    </row>
    <row r="5" spans="1:5" ht="12.75" hidden="1">
      <c r="A5" s="8" t="s">
        <v>105</v>
      </c>
      <c r="B5" s="8" t="s">
        <v>106</v>
      </c>
      <c r="C5" s="8" t="s">
        <v>107</v>
      </c>
      <c r="D5" s="8">
        <v>1</v>
      </c>
      <c r="E5" s="19"/>
    </row>
    <row r="6" spans="1:4" ht="12.75" hidden="1">
      <c r="A6" s="21"/>
      <c r="B6" s="21"/>
      <c r="C6" s="21"/>
      <c r="D6" s="21"/>
    </row>
    <row r="7" ht="12.75">
      <c r="A7" s="23" t="s">
        <v>110</v>
      </c>
    </row>
    <row r="8" spans="1:4" ht="12.75">
      <c r="A8" s="23" t="s">
        <v>112</v>
      </c>
      <c r="B8" s="23" t="s">
        <v>113</v>
      </c>
      <c r="C8" s="23" t="s">
        <v>114</v>
      </c>
      <c r="D8" s="23" t="s">
        <v>93</v>
      </c>
    </row>
    <row r="9" spans="1:6" ht="12.75">
      <c r="A9" s="25" t="s">
        <v>115</v>
      </c>
      <c r="B9" s="25" t="s">
        <v>127</v>
      </c>
      <c r="C9" s="53" t="str">
        <f aca="true" t="shared" si="0" ref="C9:C18">A9&amp;"/"&amp;B9</f>
        <v>1 week/only config change in 1 system</v>
      </c>
      <c r="D9" s="25">
        <v>1</v>
      </c>
      <c r="F9" s="35" t="str">
        <f aca="true" t="shared" si="1" ref="F9:F18">D9&amp;"="&amp;C9</f>
        <v>1=1 week/only config change in 1 system</v>
      </c>
    </row>
    <row r="10" spans="1:6" ht="12.75">
      <c r="A10" s="25" t="s">
        <v>115</v>
      </c>
      <c r="B10" s="25" t="s">
        <v>169</v>
      </c>
      <c r="C10" s="53" t="str">
        <f t="shared" si="0"/>
        <v>1 week/contained in 1 system</v>
      </c>
      <c r="D10" s="53" t="str">
        <f aca="true" t="shared" si="2" ref="D10:D18">D9+1</f>
        <v>2</v>
      </c>
      <c r="F10" s="35" t="str">
        <f t="shared" si="1"/>
        <v>2=1 week/contained in 1 system</v>
      </c>
    </row>
    <row r="11" spans="1:6" ht="12.75">
      <c r="A11" s="25" t="s">
        <v>173</v>
      </c>
      <c r="B11" s="25" t="s">
        <v>169</v>
      </c>
      <c r="C11" s="53" t="str">
        <f t="shared" si="0"/>
        <v>2 weeks/contained in 1 system</v>
      </c>
      <c r="D11" s="53" t="str">
        <f t="shared" si="2"/>
        <v>3</v>
      </c>
      <c r="F11" s="35" t="str">
        <f t="shared" si="1"/>
        <v>3=2 weeks/contained in 1 system</v>
      </c>
    </row>
    <row r="12" spans="1:6" ht="12.75">
      <c r="A12" s="25" t="s">
        <v>175</v>
      </c>
      <c r="B12" s="25" t="s">
        <v>169</v>
      </c>
      <c r="C12" s="53" t="str">
        <f t="shared" si="0"/>
        <v>3 weeks/contained in 1 system</v>
      </c>
      <c r="D12" s="53" t="str">
        <f t="shared" si="2"/>
        <v>4</v>
      </c>
      <c r="F12" s="35" t="str">
        <f t="shared" si="1"/>
        <v>4=3 weeks/contained in 1 system</v>
      </c>
    </row>
    <row r="13" spans="1:6" ht="12.75">
      <c r="A13" s="25" t="s">
        <v>176</v>
      </c>
      <c r="B13" s="25" t="s">
        <v>177</v>
      </c>
      <c r="C13" s="53" t="str">
        <f t="shared" si="0"/>
        <v>1 month/3 or less systems</v>
      </c>
      <c r="D13" s="53" t="str">
        <f t="shared" si="2"/>
        <v>5</v>
      </c>
      <c r="F13" s="35" t="str">
        <f t="shared" si="1"/>
        <v>5=1 month/3 or less systems</v>
      </c>
    </row>
    <row r="14" spans="1:6" ht="12.75">
      <c r="A14" s="25" t="s">
        <v>176</v>
      </c>
      <c r="B14" s="25" t="s">
        <v>179</v>
      </c>
      <c r="C14" s="53" t="str">
        <f t="shared" si="0"/>
        <v>1 month/4 +</v>
      </c>
      <c r="D14" s="53" t="str">
        <f t="shared" si="2"/>
        <v>6</v>
      </c>
      <c r="F14" s="35" t="str">
        <f t="shared" si="1"/>
        <v>6=1 month/4 +</v>
      </c>
    </row>
    <row r="15" spans="1:6" ht="12.75">
      <c r="A15" s="25" t="s">
        <v>181</v>
      </c>
      <c r="B15" s="25" t="s">
        <v>177</v>
      </c>
      <c r="C15" s="53" t="str">
        <f t="shared" si="0"/>
        <v>2 months/3 or less systems</v>
      </c>
      <c r="D15" s="53" t="str">
        <f t="shared" si="2"/>
        <v>7</v>
      </c>
      <c r="F15" s="35" t="str">
        <f t="shared" si="1"/>
        <v>7=2 months/3 or less systems</v>
      </c>
    </row>
    <row r="16" spans="1:6" ht="12.75">
      <c r="A16" s="25" t="s">
        <v>181</v>
      </c>
      <c r="B16" s="25" t="s">
        <v>179</v>
      </c>
      <c r="C16" s="53" t="str">
        <f t="shared" si="0"/>
        <v>2 months/4 +</v>
      </c>
      <c r="D16" s="53" t="str">
        <f t="shared" si="2"/>
        <v>8</v>
      </c>
      <c r="F16" s="35" t="str">
        <f t="shared" si="1"/>
        <v>8=2 months/4 +</v>
      </c>
    </row>
    <row r="17" spans="1:6" ht="12.75">
      <c r="A17" s="25" t="s">
        <v>184</v>
      </c>
      <c r="B17" s="25" t="s">
        <v>177</v>
      </c>
      <c r="C17" s="53" t="str">
        <f t="shared" si="0"/>
        <v>3 months/3 or less systems</v>
      </c>
      <c r="D17" s="53" t="str">
        <f t="shared" si="2"/>
        <v>9</v>
      </c>
      <c r="F17" s="35" t="str">
        <f t="shared" si="1"/>
        <v>9=3 months/3 or less systems</v>
      </c>
    </row>
    <row r="18" spans="1:6" ht="12.75">
      <c r="A18" s="25" t="s">
        <v>185</v>
      </c>
      <c r="B18" s="25" t="s">
        <v>179</v>
      </c>
      <c r="C18" s="53" t="str">
        <f t="shared" si="0"/>
        <v>3 months+/4 +</v>
      </c>
      <c r="D18" s="53" t="str">
        <f t="shared" si="2"/>
        <v>10</v>
      </c>
      <c r="F18" s="35" t="str">
        <f t="shared" si="1"/>
        <v>10=3 months+/4 +</v>
      </c>
    </row>
    <row r="20" spans="1:20" ht="12.75">
      <c r="A20" s="59" t="s">
        <v>187</v>
      </c>
      <c r="E20" s="10"/>
      <c r="F20" s="10"/>
      <c r="G20" s="10"/>
      <c r="H20" s="10"/>
      <c r="I20" s="10"/>
      <c r="J20" s="10"/>
      <c r="K20" s="10"/>
      <c r="L20" s="10"/>
      <c r="M20" s="10"/>
      <c r="N20" s="10"/>
      <c r="O20" s="10"/>
      <c r="P20" s="10"/>
      <c r="Q20" s="10"/>
      <c r="R20" s="10"/>
      <c r="S20" s="10"/>
      <c r="T20" s="10"/>
    </row>
    <row r="21" spans="1:20" ht="12.75">
      <c r="A21" s="59" t="s">
        <v>191</v>
      </c>
      <c r="B21" s="59" t="s">
        <v>192</v>
      </c>
      <c r="C21" s="59" t="s">
        <v>193</v>
      </c>
      <c r="D21" s="59" t="s">
        <v>93</v>
      </c>
      <c r="E21" s="10"/>
      <c r="F21" s="10"/>
      <c r="G21" s="10"/>
      <c r="H21" s="10"/>
      <c r="I21" s="10"/>
      <c r="J21" s="10"/>
      <c r="K21" s="10"/>
      <c r="L21" s="10"/>
      <c r="M21" s="10"/>
      <c r="N21" s="10"/>
      <c r="O21" s="10"/>
      <c r="P21" s="10"/>
      <c r="Q21" s="10"/>
      <c r="R21" s="10"/>
      <c r="S21" s="10"/>
      <c r="T21" s="10"/>
    </row>
    <row r="22" spans="1:4" ht="12.75">
      <c r="A22" s="61" t="s">
        <v>194</v>
      </c>
      <c r="B22" s="61" t="s">
        <v>196</v>
      </c>
      <c r="C22" s="91" t="str">
        <f aca="true" t="shared" si="3" ref="C22:C31">"CS: "&amp;A22&amp;"/R: "&amp;B22</f>
        <v>CS: $0-25K/R: $0-37.5K</v>
      </c>
      <c r="D22" s="61">
        <v>1</v>
      </c>
    </row>
    <row r="23" spans="1:4" ht="12.75">
      <c r="A23" s="61" t="s">
        <v>437</v>
      </c>
      <c r="B23" s="61" t="s">
        <v>438</v>
      </c>
      <c r="C23" s="91" t="str">
        <f t="shared" si="3"/>
        <v>CS: $25K-50K/R: $37.5K-75K</v>
      </c>
      <c r="D23" s="91" t="str">
        <f aca="true" t="shared" si="4" ref="D23:D31">D22+1</f>
        <v>2</v>
      </c>
    </row>
    <row r="24" spans="1:4" ht="12.75">
      <c r="A24" s="61" t="s">
        <v>441</v>
      </c>
      <c r="B24" s="61" t="s">
        <v>442</v>
      </c>
      <c r="C24" s="91" t="str">
        <f t="shared" si="3"/>
        <v>CS: $50K-75K/R: $75K-112.5K</v>
      </c>
      <c r="D24" s="91" t="str">
        <f t="shared" si="4"/>
        <v>3</v>
      </c>
    </row>
    <row r="25" spans="1:4" ht="12.75">
      <c r="A25" s="61" t="s">
        <v>446</v>
      </c>
      <c r="B25" s="61" t="s">
        <v>447</v>
      </c>
      <c r="C25" s="91" t="str">
        <f t="shared" si="3"/>
        <v>CS: $75K-125K/R: $112.5K-187.5K</v>
      </c>
      <c r="D25" s="91" t="str">
        <f t="shared" si="4"/>
        <v>4</v>
      </c>
    </row>
    <row r="26" spans="1:4" ht="12.75">
      <c r="A26" s="61" t="s">
        <v>448</v>
      </c>
      <c r="B26" s="61" t="s">
        <v>449</v>
      </c>
      <c r="C26" s="91" t="str">
        <f t="shared" si="3"/>
        <v>CS: $125K-200K/R: $187.5K-300K</v>
      </c>
      <c r="D26" s="91" t="str">
        <f t="shared" si="4"/>
        <v>5</v>
      </c>
    </row>
    <row r="27" spans="1:4" ht="12.75">
      <c r="A27" s="61" t="s">
        <v>450</v>
      </c>
      <c r="B27" s="61" t="s">
        <v>451</v>
      </c>
      <c r="C27" s="91" t="str">
        <f t="shared" si="3"/>
        <v>CS: $200K-300K/R: $300K-450K</v>
      </c>
      <c r="D27" s="91" t="str">
        <f t="shared" si="4"/>
        <v>6</v>
      </c>
    </row>
    <row r="28" spans="1:4" ht="12.75">
      <c r="A28" s="61" t="s">
        <v>455</v>
      </c>
      <c r="B28" s="61" t="s">
        <v>456</v>
      </c>
      <c r="C28" s="91" t="str">
        <f t="shared" si="3"/>
        <v>CS: $300K-500K/R: $450K-750K</v>
      </c>
      <c r="D28" s="91" t="str">
        <f t="shared" si="4"/>
        <v>7</v>
      </c>
    </row>
    <row r="29" spans="1:4" ht="12.75">
      <c r="A29" s="61" t="s">
        <v>460</v>
      </c>
      <c r="B29" s="61" t="s">
        <v>462</v>
      </c>
      <c r="C29" s="91" t="str">
        <f t="shared" si="3"/>
        <v>CS: $500K-750K/R: $750K-1.125M</v>
      </c>
      <c r="D29" s="91" t="str">
        <f t="shared" si="4"/>
        <v>8</v>
      </c>
    </row>
    <row r="30" spans="1:4" ht="12.75">
      <c r="A30" s="61" t="s">
        <v>463</v>
      </c>
      <c r="B30" s="61" t="s">
        <v>464</v>
      </c>
      <c r="C30" s="91" t="str">
        <f t="shared" si="3"/>
        <v>CS: $750K-1M/R: $1.125M-1.5M</v>
      </c>
      <c r="D30" s="91" t="str">
        <f t="shared" si="4"/>
        <v>9</v>
      </c>
    </row>
    <row r="31" spans="1:4" ht="12.75">
      <c r="A31" s="61" t="s">
        <v>465</v>
      </c>
      <c r="B31" s="61" t="s">
        <v>466</v>
      </c>
      <c r="C31" s="91" t="str">
        <f t="shared" si="3"/>
        <v>CS: $1M+/R: $1.5M+</v>
      </c>
      <c r="D31" s="91" t="str">
        <f t="shared" si="4"/>
        <v>10</v>
      </c>
    </row>
    <row r="33" ht="12.75">
      <c r="A33" s="59" t="s">
        <v>467</v>
      </c>
    </row>
    <row r="34" spans="1:4" ht="12.75">
      <c r="A34" s="59" t="s">
        <v>468</v>
      </c>
      <c r="B34" s="59" t="s">
        <v>469</v>
      </c>
      <c r="C34" s="59" t="s">
        <v>470</v>
      </c>
      <c r="D34" s="59" t="s">
        <v>93</v>
      </c>
    </row>
    <row r="35" spans="1:4" ht="12.75">
      <c r="A35" s="61" t="s">
        <v>194</v>
      </c>
      <c r="B35" s="61" t="s">
        <v>115</v>
      </c>
      <c r="C35" s="91" t="str">
        <f aca="true" t="shared" si="5" ref="C35:C44">"C: "&amp;A35&amp;"/E: "&amp;B35</f>
        <v>C: $0-25K/E: 1 week</v>
      </c>
      <c r="D35" s="61">
        <v>1</v>
      </c>
    </row>
    <row r="36" spans="1:4" ht="12.75">
      <c r="A36" s="61" t="s">
        <v>437</v>
      </c>
      <c r="B36" s="61" t="s">
        <v>173</v>
      </c>
      <c r="C36" s="91" t="str">
        <f t="shared" si="5"/>
        <v>C: $25K-50K/E: 2 weeks</v>
      </c>
      <c r="D36" s="91" t="str">
        <f aca="true" t="shared" si="6" ref="D36:D44">D35+1</f>
        <v>2</v>
      </c>
    </row>
    <row r="37" spans="1:4" ht="12.75">
      <c r="A37" s="61" t="s">
        <v>441</v>
      </c>
      <c r="B37" s="61" t="s">
        <v>175</v>
      </c>
      <c r="C37" s="91" t="str">
        <f t="shared" si="5"/>
        <v>C: $50K-75K/E: 3 weeks</v>
      </c>
      <c r="D37" s="91" t="str">
        <f t="shared" si="6"/>
        <v>3</v>
      </c>
    </row>
    <row r="38" spans="1:4" ht="12.75">
      <c r="A38" s="61" t="s">
        <v>446</v>
      </c>
      <c r="B38" s="61" t="s">
        <v>476</v>
      </c>
      <c r="C38" s="91" t="str">
        <f t="shared" si="5"/>
        <v>C: $75K-125K/E: 4 weeks</v>
      </c>
      <c r="D38" s="91" t="str">
        <f t="shared" si="6"/>
        <v>4</v>
      </c>
    </row>
    <row r="39" spans="1:4" ht="12.75">
      <c r="A39" s="61" t="s">
        <v>448</v>
      </c>
      <c r="B39" s="61" t="s">
        <v>482</v>
      </c>
      <c r="C39" s="91" t="str">
        <f t="shared" si="5"/>
        <v>C: $125K-200K/E: 5 weeks</v>
      </c>
      <c r="D39" s="91" t="str">
        <f t="shared" si="6"/>
        <v>5</v>
      </c>
    </row>
    <row r="40" spans="1:4" ht="12.75">
      <c r="A40" s="61" t="s">
        <v>450</v>
      </c>
      <c r="B40" s="61" t="s">
        <v>483</v>
      </c>
      <c r="C40" s="91" t="str">
        <f t="shared" si="5"/>
        <v>C: $200K-300K/E: 6 weeks</v>
      </c>
      <c r="D40" s="91" t="str">
        <f t="shared" si="6"/>
        <v>6</v>
      </c>
    </row>
    <row r="41" spans="1:4" ht="12.75">
      <c r="A41" s="61" t="s">
        <v>455</v>
      </c>
      <c r="B41" s="61" t="s">
        <v>485</v>
      </c>
      <c r="C41" s="91" t="str">
        <f t="shared" si="5"/>
        <v>C: $300K-500K/E: 7 weeks</v>
      </c>
      <c r="D41" s="91" t="str">
        <f t="shared" si="6"/>
        <v>7</v>
      </c>
    </row>
    <row r="42" spans="1:4" ht="12.75">
      <c r="A42" s="61" t="s">
        <v>460</v>
      </c>
      <c r="B42" s="61" t="s">
        <v>488</v>
      </c>
      <c r="C42" s="91" t="str">
        <f t="shared" si="5"/>
        <v>C: $500K-750K/E: 8 weeks</v>
      </c>
      <c r="D42" s="91" t="str">
        <f t="shared" si="6"/>
        <v>8</v>
      </c>
    </row>
    <row r="43" spans="1:4" ht="12.75">
      <c r="A43" s="61" t="s">
        <v>463</v>
      </c>
      <c r="B43" s="61" t="s">
        <v>491</v>
      </c>
      <c r="C43" s="91" t="str">
        <f t="shared" si="5"/>
        <v>C: $750K-1M/E: 9 weeks</v>
      </c>
      <c r="D43" s="91" t="str">
        <f t="shared" si="6"/>
        <v>9</v>
      </c>
    </row>
    <row r="44" spans="1:4" ht="12.75">
      <c r="A44" s="61" t="s">
        <v>465</v>
      </c>
      <c r="B44" s="61" t="s">
        <v>493</v>
      </c>
      <c r="C44" s="91" t="str">
        <f t="shared" si="5"/>
        <v>C: $1M+/E: 10+ weeks</v>
      </c>
      <c r="D44" s="91" t="str">
        <f t="shared" si="6"/>
        <v>10</v>
      </c>
    </row>
  </sheetData>
  <mergeCells count="3">
    <mergeCell ref="A7:D7"/>
    <mergeCell ref="A20:D20"/>
    <mergeCell ref="A33:D3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T43"/>
  <sheetViews>
    <sheetView workbookViewId="0" topLeftCell="A1">
      <pane ySplit="2" topLeftCell="A3" activePane="bottomLeft" state="frozen"/>
      <selection pane="bottomLeft" activeCell="B4" sqref="B4"/>
    </sheetView>
  </sheetViews>
  <sheetFormatPr defaultColWidth="14.421875" defaultRowHeight="12.75" customHeight="1"/>
  <cols>
    <col min="1" max="1" width="44.140625" style="0" customWidth="1"/>
    <col min="2" max="2" width="17.28125" style="0" customWidth="1"/>
    <col min="3" max="3" width="9.140625" style="0" customWidth="1"/>
    <col min="4" max="4" width="9.421875" style="0" customWidth="1"/>
    <col min="5" max="5" width="9.28125" style="0" customWidth="1"/>
    <col min="6" max="6" width="6.140625" style="0" customWidth="1"/>
    <col min="7" max="7" width="29.8515625" style="0" customWidth="1"/>
    <col min="8" max="8" width="10.7109375" style="0" customWidth="1"/>
    <col min="9" max="9" width="30.8515625" style="0" customWidth="1"/>
    <col min="10" max="10" width="9.28125" style="0" customWidth="1"/>
    <col min="11" max="11" width="23.8515625" style="0" customWidth="1"/>
    <col min="12" max="12" width="10.421875" style="0" customWidth="1"/>
    <col min="13" max="13" width="32.421875" style="0" customWidth="1"/>
    <col min="14" max="14" width="9.421875" style="0" customWidth="1"/>
    <col min="15" max="15" width="25.57421875" style="0" customWidth="1"/>
    <col min="16" max="16" width="8.421875" style="0" customWidth="1"/>
    <col min="17" max="17" width="31.57421875" style="0" customWidth="1"/>
    <col min="18" max="18" width="9.8515625" style="0" customWidth="1"/>
    <col min="19" max="19" width="26.140625" style="0" customWidth="1"/>
    <col min="20" max="20" width="10.421875" style="0" customWidth="1"/>
  </cols>
  <sheetData>
    <row r="1" spans="1:20" ht="12.75">
      <c r="A1" s="2" t="s">
        <v>2</v>
      </c>
      <c r="B1" s="4"/>
      <c r="C1" s="2" t="s">
        <v>13</v>
      </c>
      <c r="D1" s="56" t="s">
        <v>16</v>
      </c>
      <c r="E1" s="56" t="s">
        <v>178</v>
      </c>
      <c r="F1" s="58" t="s">
        <v>180</v>
      </c>
      <c r="G1" s="60" t="s">
        <v>188</v>
      </c>
      <c r="H1" s="44"/>
      <c r="I1" s="62" t="s">
        <v>111</v>
      </c>
      <c r="J1" s="42"/>
      <c r="K1" s="42"/>
      <c r="L1" s="44"/>
      <c r="M1" s="64" t="s">
        <v>126</v>
      </c>
      <c r="N1" s="42"/>
      <c r="O1" s="42"/>
      <c r="P1" s="44"/>
      <c r="Q1" s="67" t="s">
        <v>121</v>
      </c>
      <c r="R1" s="42"/>
      <c r="S1" s="42"/>
      <c r="T1" s="44"/>
    </row>
    <row r="2" spans="1:20" ht="12.75">
      <c r="A2" s="69"/>
      <c r="B2" s="8" t="s">
        <v>325</v>
      </c>
      <c r="C2" s="69"/>
      <c r="D2" s="69"/>
      <c r="E2" s="69"/>
      <c r="F2" s="69"/>
      <c r="G2" s="71" t="s">
        <v>112</v>
      </c>
      <c r="H2" s="72" t="s">
        <v>229</v>
      </c>
      <c r="I2" s="101" t="s">
        <v>231</v>
      </c>
      <c r="J2" s="106" t="s">
        <v>318</v>
      </c>
      <c r="K2" s="155" t="s">
        <v>332</v>
      </c>
      <c r="L2" s="106" t="s">
        <v>229</v>
      </c>
      <c r="M2" s="146" t="s">
        <v>231</v>
      </c>
      <c r="N2" s="149" t="str">
        <f>J2</f>
        <v>Impact Value</v>
      </c>
      <c r="O2" s="157" t="s">
        <v>332</v>
      </c>
      <c r="P2" s="149" t="str">
        <f>L2</f>
        <v>Difficulty Value</v>
      </c>
      <c r="Q2" s="151" t="s">
        <v>231</v>
      </c>
      <c r="R2" s="153" t="str">
        <f>N2</f>
        <v>Impact Value</v>
      </c>
      <c r="S2" s="160" t="s">
        <v>332</v>
      </c>
      <c r="T2" s="153" t="str">
        <f>P2</f>
        <v>Difficulty Value</v>
      </c>
    </row>
    <row r="3" spans="1:20" ht="12.75">
      <c r="A3" s="126" t="str">
        <f>HYPERLINK("https://docs.google.com/open?id=0B8aL7M45OFh_NThiZmYzZGItZGZkZC00MTU4LThkYjItMGY0NjBjMmE0ZTFh","Couponing/Promo code redesign")</f>
        <v>Couponing/Promo code redesign</v>
      </c>
      <c r="B3" s="5"/>
      <c r="C3" s="8" t="s">
        <v>133</v>
      </c>
      <c r="D3" s="181">
        <v>40912</v>
      </c>
      <c r="E3" s="181">
        <v>41090</v>
      </c>
      <c r="F3" s="165" t="str">
        <f aca="true" t="shared" si="0" ref="F3:F26">(J3+N3+R3)/(T3+P3+L3+H3)</f>
        <v>1.42</v>
      </c>
      <c r="G3" s="173" t="s">
        <v>614</v>
      </c>
      <c r="H3" s="183" t="str">
        <f>VLOOKUP(G3,'fom-pulldowns'!$C$9:$D$18,2,FALSE)</f>
        <v>5</v>
      </c>
      <c r="I3" s="177" t="s">
        <v>615</v>
      </c>
      <c r="J3" s="187" t="str">
        <f>VLOOKUP(I3,'fom-pulldowns'!$C$22:$D$31,2,FALSE)</f>
        <v>7</v>
      </c>
      <c r="K3" s="189" t="s">
        <v>650</v>
      </c>
      <c r="L3" s="187" t="str">
        <f>VLOOKUP(K3,'fom-pulldowns'!$C$35:$D$44,2,FALSE)</f>
        <v>2</v>
      </c>
      <c r="M3" s="192" t="s">
        <v>615</v>
      </c>
      <c r="N3" s="194" t="str">
        <f>VLOOKUP(M3,'fom-pulldowns'!$C$22:$D$31,2,FALSE)</f>
        <v>7</v>
      </c>
      <c r="O3" s="201" t="s">
        <v>650</v>
      </c>
      <c r="P3" s="194" t="str">
        <f>VLOOKUP(O3,'fom-pulldowns'!$C$35:$D$44,2,FALSE)</f>
        <v>2</v>
      </c>
      <c r="Q3" s="203" t="s">
        <v>599</v>
      </c>
      <c r="R3" s="205" t="str">
        <f>VLOOKUP(Q3,'fom-pulldowns'!$C$22:$D$31,2,FALSE)</f>
        <v>3</v>
      </c>
      <c r="S3" s="206" t="s">
        <v>659</v>
      </c>
      <c r="T3" s="205" t="str">
        <f>VLOOKUP(S3,'fom-pulldowns'!$C$35:$D$44,2,FALSE)</f>
        <v>3</v>
      </c>
    </row>
    <row r="4" spans="1:20" ht="12.75">
      <c r="A4" s="126" t="str">
        <f>HYPERLINK("https://docs.google.com/open?id=0B8aL7M45OFh_VWpienQ1cEFIdHc","Improved Online Coupon Messaging")</f>
        <v>Improved Online Coupon Messaging</v>
      </c>
      <c r="B4" s="5"/>
      <c r="C4" s="5"/>
      <c r="D4" s="7"/>
      <c r="E4" s="7"/>
      <c r="F4" s="165" t="str">
        <f t="shared" si="0"/>
        <v>1.38</v>
      </c>
      <c r="G4" s="173" t="s">
        <v>614</v>
      </c>
      <c r="H4" s="183" t="str">
        <f>VLOOKUP(G4,'fom-pulldowns'!$C$9:$D$18,2,FALSE)</f>
        <v>5</v>
      </c>
      <c r="I4" s="177" t="s">
        <v>664</v>
      </c>
      <c r="J4" s="187" t="str">
        <f>VLOOKUP(I4,'fom-pulldowns'!$C$22:$D$31,2,FALSE)</f>
        <v>4</v>
      </c>
      <c r="K4" s="189" t="s">
        <v>625</v>
      </c>
      <c r="L4" s="187" t="str">
        <f>VLOOKUP(K4,'fom-pulldowns'!$C$35:$D$44,2,FALSE)</f>
        <v>1</v>
      </c>
      <c r="M4" s="192" t="s">
        <v>664</v>
      </c>
      <c r="N4" s="194" t="str">
        <f>VLOOKUP(M4,'fom-pulldowns'!$C$22:$D$31,2,FALSE)</f>
        <v>4</v>
      </c>
      <c r="O4" s="201" t="s">
        <v>625</v>
      </c>
      <c r="P4" s="194" t="str">
        <f>VLOOKUP(O4,'fom-pulldowns'!$C$35:$D$44,2,FALSE)</f>
        <v>1</v>
      </c>
      <c r="Q4" s="203" t="s">
        <v>599</v>
      </c>
      <c r="R4" s="205" t="str">
        <f>VLOOKUP(Q4,'fom-pulldowns'!$C$22:$D$31,2,FALSE)</f>
        <v>3</v>
      </c>
      <c r="S4" s="206" t="s">
        <v>625</v>
      </c>
      <c r="T4" s="205" t="str">
        <f>VLOOKUP(S4,'fom-pulldowns'!$C$35:$D$44,2,FALSE)</f>
        <v>1</v>
      </c>
    </row>
    <row r="5" spans="1:20" ht="12.75">
      <c r="A5" s="218" t="str">
        <f>HYPERLINK("https://docs.google.com/open?id=0B8aL7M45OFh_NWMxZWZlNTQtNzMxNy00ZTM4LWIzNmYtMzk1NmM2ZmE0YmIz","Recommendation engine")</f>
        <v>Recommendation engine</v>
      </c>
      <c r="B5" s="5"/>
      <c r="C5" s="8" t="s">
        <v>133</v>
      </c>
      <c r="D5" s="181">
        <v>40918</v>
      </c>
      <c r="E5" s="181">
        <v>41090</v>
      </c>
      <c r="F5" s="165" t="str">
        <f t="shared" si="0"/>
        <v>1.36</v>
      </c>
      <c r="G5" s="173" t="s">
        <v>691</v>
      </c>
      <c r="H5" s="183" t="str">
        <f>VLOOKUP(G5,'fom-pulldowns'!$C$9:$D$18,2,FALSE)</f>
        <v>7</v>
      </c>
      <c r="I5" s="177" t="s">
        <v>696</v>
      </c>
      <c r="J5" s="187" t="str">
        <f>VLOOKUP(I5,'fom-pulldowns'!$C$22:$D$31,2,FALSE)</f>
        <v>9</v>
      </c>
      <c r="K5" s="189" t="s">
        <v>659</v>
      </c>
      <c r="L5" s="187" t="str">
        <f>VLOOKUP(K5,'fom-pulldowns'!$C$35:$D$44,2,FALSE)</f>
        <v>3</v>
      </c>
      <c r="M5" s="192" t="s">
        <v>615</v>
      </c>
      <c r="N5" s="194" t="str">
        <f>VLOOKUP(M5,'fom-pulldowns'!$C$22:$D$31,2,FALSE)</f>
        <v>7</v>
      </c>
      <c r="O5" s="201" t="s">
        <v>659</v>
      </c>
      <c r="P5" s="194" t="str">
        <f>VLOOKUP(O5,'fom-pulldowns'!$C$35:$D$44,2,FALSE)</f>
        <v>3</v>
      </c>
      <c r="Q5" s="203" t="s">
        <v>599</v>
      </c>
      <c r="R5" s="205" t="str">
        <f>VLOOKUP(Q5,'fom-pulldowns'!$C$22:$D$31,2,FALSE)</f>
        <v>3</v>
      </c>
      <c r="S5" s="206" t="s">
        <v>625</v>
      </c>
      <c r="T5" s="205" t="str">
        <f>VLOOKUP(S5,'fom-pulldowns'!$C$35:$D$44,2,FALSE)</f>
        <v>1</v>
      </c>
    </row>
    <row r="6" spans="1:20" ht="12.75">
      <c r="A6" s="126" t="str">
        <f>HYPERLINK("https://docs.google.com/open?id=0B8aL7M45OFh_Y2U0NjBhNzAtYWMyNC00ZGFhLWI2MmEtYjA3MDUzNTVhYjE4","Google Trusted Store")</f>
        <v>Google Trusted Store</v>
      </c>
      <c r="B6" s="5"/>
      <c r="C6" s="5"/>
      <c r="D6" s="7"/>
      <c r="E6" s="7"/>
      <c r="F6" s="165" t="str">
        <f t="shared" si="0"/>
        <v>1.25</v>
      </c>
      <c r="G6" s="173" t="s">
        <v>681</v>
      </c>
      <c r="H6" s="183" t="str">
        <f>VLOOKUP(G6,'fom-pulldowns'!$C$9:$D$18,2,FALSE)</f>
        <v>3</v>
      </c>
      <c r="I6" s="177" t="s">
        <v>622</v>
      </c>
      <c r="J6" s="187" t="str">
        <f>VLOOKUP(I6,'fom-pulldowns'!$C$22:$D$31,2,FALSE)</f>
        <v>5</v>
      </c>
      <c r="K6" s="189" t="s">
        <v>659</v>
      </c>
      <c r="L6" s="187" t="str">
        <f>VLOOKUP(K6,'fom-pulldowns'!$C$35:$D$44,2,FALSE)</f>
        <v>3</v>
      </c>
      <c r="M6" s="192" t="s">
        <v>664</v>
      </c>
      <c r="N6" s="194" t="str">
        <f>VLOOKUP(M6,'fom-pulldowns'!$C$22:$D$31,2,FALSE)</f>
        <v>4</v>
      </c>
      <c r="O6" s="201" t="s">
        <v>625</v>
      </c>
      <c r="P6" s="194" t="str">
        <f>VLOOKUP(O6,'fom-pulldowns'!$C$35:$D$44,2,FALSE)</f>
        <v>1</v>
      </c>
      <c r="Q6" s="203" t="s">
        <v>620</v>
      </c>
      <c r="R6" s="205" t="str">
        <f>VLOOKUP(Q6,'fom-pulldowns'!$C$22:$D$31,2,FALSE)</f>
        <v>1</v>
      </c>
      <c r="S6" s="206" t="s">
        <v>625</v>
      </c>
      <c r="T6" s="205" t="str">
        <f>VLOOKUP(S6,'fom-pulldowns'!$C$35:$D$44,2,FALSE)</f>
        <v>1</v>
      </c>
    </row>
    <row r="7" spans="1:20" ht="12.75">
      <c r="A7" s="235" t="str">
        <f>HYPERLINK("https://docs.google.com/leaf?id=0B8aL7M45OFh_YzMxMmRmMzgtYTc4Yi00MjEyLWFmMTQtNDI5Y2Y5OGNiM2Ez&amp;hl=en_US","Gift with purchase (GWP)")</f>
        <v>Gift with purchase (GWP)</v>
      </c>
      <c r="B7" s="5"/>
      <c r="C7" s="8" t="s">
        <v>133</v>
      </c>
      <c r="D7" s="181">
        <v>40798</v>
      </c>
      <c r="E7" s="181">
        <v>40999</v>
      </c>
      <c r="F7" s="165" t="str">
        <f t="shared" si="0"/>
        <v>1.20</v>
      </c>
      <c r="G7" s="173" t="s">
        <v>621</v>
      </c>
      <c r="H7" s="183" t="str">
        <f>VLOOKUP(G7,'fom-pulldowns'!$C$9:$D$18,2,FALSE)</f>
        <v>4</v>
      </c>
      <c r="I7" s="177" t="s">
        <v>728</v>
      </c>
      <c r="J7" s="187" t="str">
        <f>VLOOKUP(I7,'fom-pulldowns'!$C$22:$D$31,2,FALSE)</f>
        <v>6</v>
      </c>
      <c r="K7" s="189" t="s">
        <v>650</v>
      </c>
      <c r="L7" s="187" t="str">
        <f>VLOOKUP(K7,'fom-pulldowns'!$C$35:$D$44,2,FALSE)</f>
        <v>2</v>
      </c>
      <c r="M7" s="192" t="s">
        <v>599</v>
      </c>
      <c r="N7" s="194" t="str">
        <f>VLOOKUP(M7,'fom-pulldowns'!$C$22:$D$31,2,FALSE)</f>
        <v>3</v>
      </c>
      <c r="O7" s="201" t="s">
        <v>650</v>
      </c>
      <c r="P7" s="194" t="str">
        <f>VLOOKUP(O7,'fom-pulldowns'!$C$35:$D$44,2,FALSE)</f>
        <v>2</v>
      </c>
      <c r="Q7" s="203" t="s">
        <v>620</v>
      </c>
      <c r="R7" s="242">
        <v>3</v>
      </c>
      <c r="S7" s="206" t="s">
        <v>650</v>
      </c>
      <c r="T7" s="205" t="str">
        <f>VLOOKUP(S7,'fom-pulldowns'!$C$35:$D$44,2,FALSE)</f>
        <v>2</v>
      </c>
    </row>
    <row r="8" spans="1:20" ht="12.75">
      <c r="A8" s="218" t="str">
        <f>HYPERLINK("https://docs.google.com/leaf?id=0B8aL7M45OFh_NWVlMzBhODYtOTg2Ny00NjljLWIzMmUtY2Q2ZjAzY2VjODRh&amp;hl=en_US&amp;authkey=CIXEreAI","BISN Triage Phase 1 (Backend)")</f>
        <v>BISN Triage Phase 1 (Backend)</v>
      </c>
      <c r="B8" s="5"/>
      <c r="C8" s="8" t="s">
        <v>133</v>
      </c>
      <c r="D8" s="181">
        <v>40681</v>
      </c>
      <c r="E8" s="181">
        <v>40816</v>
      </c>
      <c r="F8" s="165" t="str">
        <f t="shared" si="0"/>
        <v>1.08</v>
      </c>
      <c r="G8" s="173" t="s">
        <v>621</v>
      </c>
      <c r="H8" s="183" t="str">
        <f>VLOOKUP(G8,'fom-pulldowns'!$C$9:$D$18,2,FALSE)</f>
        <v>4</v>
      </c>
      <c r="I8" s="177" t="s">
        <v>728</v>
      </c>
      <c r="J8" s="187" t="str">
        <f>VLOOKUP(I8,'fom-pulldowns'!$C$22:$D$31,2,FALSE)</f>
        <v>6</v>
      </c>
      <c r="K8" s="189" t="s">
        <v>659</v>
      </c>
      <c r="L8" s="187" t="str">
        <f>VLOOKUP(K8,'fom-pulldowns'!$C$35:$D$44,2,FALSE)</f>
        <v>3</v>
      </c>
      <c r="M8" s="192" t="s">
        <v>728</v>
      </c>
      <c r="N8" s="194" t="str">
        <f>VLOOKUP(M8,'fom-pulldowns'!$C$22:$D$31,2,FALSE)</f>
        <v>6</v>
      </c>
      <c r="O8" s="201" t="s">
        <v>659</v>
      </c>
      <c r="P8" s="194" t="str">
        <f>VLOOKUP(O8,'fom-pulldowns'!$C$35:$D$44,2,FALSE)</f>
        <v>3</v>
      </c>
      <c r="Q8" s="203" t="s">
        <v>620</v>
      </c>
      <c r="R8" s="205" t="str">
        <f>VLOOKUP(Q8,'fom-pulldowns'!$C$22:$D$31,2,FALSE)</f>
        <v>1</v>
      </c>
      <c r="S8" s="206" t="s">
        <v>650</v>
      </c>
      <c r="T8" s="205" t="str">
        <f>VLOOKUP(S8,'fom-pulldowns'!$C$35:$D$44,2,FALSE)</f>
        <v>2</v>
      </c>
    </row>
    <row r="9" spans="1:20" ht="12.75">
      <c r="A9" s="218" t="str">
        <f>HYPERLINK("https://docs.google.com/leaf?id=0B8aL7M45OFh_YTc0NjNjMzMtZWMyMi00M2VlLTg5MmItYWY3ODVjYjRlZjc1&amp;hl=en&amp;authkey=CJ3DpoEB","Product Sets")</f>
        <v>Product Sets</v>
      </c>
      <c r="B9" s="5"/>
      <c r="C9" s="8" t="s">
        <v>133</v>
      </c>
      <c r="D9" s="181">
        <v>40674</v>
      </c>
      <c r="E9" s="181">
        <v>40816</v>
      </c>
      <c r="F9" s="165" t="str">
        <f t="shared" si="0"/>
        <v>1.07</v>
      </c>
      <c r="G9" s="173" t="s">
        <v>614</v>
      </c>
      <c r="H9" s="183" t="str">
        <f>VLOOKUP(G9,'fom-pulldowns'!$C$9:$D$18,2,FALSE)</f>
        <v>5</v>
      </c>
      <c r="I9" s="177" t="s">
        <v>664</v>
      </c>
      <c r="J9" s="187" t="str">
        <f>VLOOKUP(I9,'fom-pulldowns'!$C$22:$D$31,2,FALSE)</f>
        <v>4</v>
      </c>
      <c r="K9" s="189" t="s">
        <v>659</v>
      </c>
      <c r="L9" s="187" t="str">
        <f>VLOOKUP(K9,'fom-pulldowns'!$C$35:$D$44,2,FALSE)</f>
        <v>3</v>
      </c>
      <c r="M9" s="192" t="s">
        <v>728</v>
      </c>
      <c r="N9" s="194" t="str">
        <f>VLOOKUP(M9,'fom-pulldowns'!$C$22:$D$31,2,FALSE)</f>
        <v>6</v>
      </c>
      <c r="O9" s="201" t="s">
        <v>753</v>
      </c>
      <c r="P9" s="194" t="str">
        <f>VLOOKUP(O9,'fom-pulldowns'!$C$35:$D$44,2,FALSE)</f>
        <v>4</v>
      </c>
      <c r="Q9" s="203" t="s">
        <v>599</v>
      </c>
      <c r="R9" s="242">
        <v>6</v>
      </c>
      <c r="S9" s="206" t="s">
        <v>659</v>
      </c>
      <c r="T9" s="205" t="str">
        <f>VLOOKUP(S9,'fom-pulldowns'!$C$35:$D$44,2,FALSE)</f>
        <v>3</v>
      </c>
    </row>
    <row r="10" spans="1:20" ht="12.75">
      <c r="A10" s="218" t="str">
        <f>HYPERLINK("https://docs.google.com/leaf?id=0B8aL7M45OFh_MmQ5NjdkN2MtYmExYi00YzI3LWJlNWMtN2YxZWMxZGJkZjQ4&amp;hl=en_US&amp;authkey=CPunlMYO","Product Feed Fixes/Improvements to optimize Comparison Shopping Engines)")</f>
        <v>Product Feed Fixes/Improvements to optimize Comparison Shopping Engines)</v>
      </c>
      <c r="B10" s="5"/>
      <c r="C10" s="8" t="s">
        <v>133</v>
      </c>
      <c r="D10" s="181">
        <v>40676</v>
      </c>
      <c r="E10" s="7"/>
      <c r="F10" s="165" t="str">
        <f t="shared" si="0"/>
        <v>1.00</v>
      </c>
      <c r="G10" s="173" t="s">
        <v>681</v>
      </c>
      <c r="H10" s="183" t="str">
        <f>VLOOKUP(G10,'fom-pulldowns'!$C$9:$D$18,2,FALSE)</f>
        <v>3</v>
      </c>
      <c r="I10" s="177" t="s">
        <v>622</v>
      </c>
      <c r="J10" s="187" t="str">
        <f>VLOOKUP(I10,'fom-pulldowns'!$C$22:$D$31,2,FALSE)</f>
        <v>5</v>
      </c>
      <c r="K10" s="189" t="s">
        <v>650</v>
      </c>
      <c r="L10" s="187" t="str">
        <f>VLOOKUP(K10,'fom-pulldowns'!$C$35:$D$44,2,FALSE)</f>
        <v>2</v>
      </c>
      <c r="M10" s="192" t="s">
        <v>664</v>
      </c>
      <c r="N10" s="194" t="str">
        <f>VLOOKUP(M10,'fom-pulldowns'!$C$22:$D$31,2,FALSE)</f>
        <v>4</v>
      </c>
      <c r="O10" s="201" t="s">
        <v>650</v>
      </c>
      <c r="P10" s="194" t="str">
        <f>VLOOKUP(O10,'fom-pulldowns'!$C$35:$D$44,2,FALSE)</f>
        <v>2</v>
      </c>
      <c r="Q10" s="203" t="s">
        <v>652</v>
      </c>
      <c r="R10" s="205" t="str">
        <f>VLOOKUP(Q10,'fom-pulldowns'!$C$22:$D$31,2,FALSE)</f>
        <v>2</v>
      </c>
      <c r="S10" s="206" t="s">
        <v>753</v>
      </c>
      <c r="T10" s="205" t="str">
        <f>VLOOKUP(S10,'fom-pulldowns'!$C$35:$D$44,2,FALSE)</f>
        <v>4</v>
      </c>
    </row>
    <row r="11" spans="1:20" ht="12.75">
      <c r="A11" s="126" t="str">
        <f>HYPERLINK("https://docs.google.com/open?id=0B8aL7M45OFh_VDFNdGJEQ3hSSm1iVjA0WTAwTVlEUQ","Self-Service Cancellation of orders")</f>
        <v>Self-Service Cancellation of orders</v>
      </c>
      <c r="B11" s="5"/>
      <c r="C11" s="5"/>
      <c r="D11" s="7"/>
      <c r="E11" s="7"/>
      <c r="F11" s="165" t="str">
        <f t="shared" si="0"/>
        <v>1.00</v>
      </c>
      <c r="G11" s="173" t="s">
        <v>691</v>
      </c>
      <c r="H11" s="183" t="str">
        <f>VLOOKUP(G11,'fom-pulldowns'!$C$9:$D$18,2,FALSE)</f>
        <v>7</v>
      </c>
      <c r="I11" s="177" t="s">
        <v>689</v>
      </c>
      <c r="J11" s="187" t="str">
        <f>VLOOKUP(I11,'fom-pulldowns'!$C$22:$D$31,2,FALSE)</f>
        <v>10</v>
      </c>
      <c r="K11" s="189" t="s">
        <v>659</v>
      </c>
      <c r="L11" s="187" t="str">
        <f>VLOOKUP(K11,'fom-pulldowns'!$C$35:$D$44,2,FALSE)</f>
        <v>3</v>
      </c>
      <c r="M11" s="192" t="s">
        <v>652</v>
      </c>
      <c r="N11" s="194" t="str">
        <f>VLOOKUP(M11,'fom-pulldowns'!$C$22:$D$31,2,FALSE)</f>
        <v>2</v>
      </c>
      <c r="O11" s="201" t="s">
        <v>650</v>
      </c>
      <c r="P11" s="194" t="str">
        <f>VLOOKUP(O11,'fom-pulldowns'!$C$35:$D$44,2,FALSE)</f>
        <v>2</v>
      </c>
      <c r="Q11" s="203" t="s">
        <v>652</v>
      </c>
      <c r="R11" s="205" t="str">
        <f>VLOOKUP(Q11,'fom-pulldowns'!$C$22:$D$31,2,FALSE)</f>
        <v>2</v>
      </c>
      <c r="S11" s="206" t="s">
        <v>650</v>
      </c>
      <c r="T11" s="205" t="str">
        <f>VLOOKUP(S11,'fom-pulldowns'!$C$35:$D$44,2,FALSE)</f>
        <v>2</v>
      </c>
    </row>
    <row r="12" spans="1:20" ht="12.75">
      <c r="A12" s="235" t="str">
        <f>HYPERLINK("https://docs.google.com/open?id=0B8aL7M45OFh_MzE0N2I4MmUtNTEwMC00NDg3LWFhZDgtODBlZGFhMTgxYTgy","Discount pricing by percentage in category and other")</f>
        <v>Discount pricing by percentage in category and other</v>
      </c>
      <c r="B12" s="5"/>
      <c r="C12" s="8" t="s">
        <v>133</v>
      </c>
      <c r="D12" s="181">
        <v>40840</v>
      </c>
      <c r="E12" s="181">
        <v>41090</v>
      </c>
      <c r="F12" s="165" t="str">
        <f t="shared" si="0"/>
        <v>0.89</v>
      </c>
      <c r="G12" s="173" t="s">
        <v>621</v>
      </c>
      <c r="H12" s="183" t="str">
        <f>VLOOKUP(G12,'fom-pulldowns'!$C$9:$D$18,2,FALSE)</f>
        <v>4</v>
      </c>
      <c r="I12" s="177" t="s">
        <v>620</v>
      </c>
      <c r="J12" s="187" t="str">
        <f>VLOOKUP(I12,'fom-pulldowns'!$C$22:$D$31,2,FALSE)</f>
        <v>1</v>
      </c>
      <c r="K12" s="189" t="s">
        <v>625</v>
      </c>
      <c r="L12" s="187" t="str">
        <f>VLOOKUP(K12,'fom-pulldowns'!$C$35:$D$44,2,FALSE)</f>
        <v>1</v>
      </c>
      <c r="M12" s="192" t="s">
        <v>664</v>
      </c>
      <c r="N12" s="194" t="str">
        <f>VLOOKUP(M12,'fom-pulldowns'!$C$22:$D$31,2,FALSE)</f>
        <v>4</v>
      </c>
      <c r="O12" s="201" t="s">
        <v>650</v>
      </c>
      <c r="P12" s="194" t="str">
        <f>VLOOKUP(O12,'fom-pulldowns'!$C$35:$D$44,2,FALSE)</f>
        <v>2</v>
      </c>
      <c r="Q12" s="203" t="s">
        <v>652</v>
      </c>
      <c r="R12" s="242">
        <v>3</v>
      </c>
      <c r="S12" s="206" t="s">
        <v>650</v>
      </c>
      <c r="T12" s="205" t="str">
        <f>VLOOKUP(S12,'fom-pulldowns'!$C$35:$D$44,2,FALSE)</f>
        <v>2</v>
      </c>
    </row>
    <row r="13" spans="1:20" ht="12.75">
      <c r="A13" s="126" t="str">
        <f>HYPERLINK("https://docs.google.com/open?id=0B8aL7M45OFh_UkV3eXp0bkctZ2c","Account Form Update")</f>
        <v>Account Form Update</v>
      </c>
      <c r="B13" s="5"/>
      <c r="C13" s="5"/>
      <c r="D13" s="7"/>
      <c r="E13" s="7"/>
      <c r="F13" s="165" t="str">
        <f t="shared" si="0"/>
        <v>0.86</v>
      </c>
      <c r="G13" s="173" t="s">
        <v>621</v>
      </c>
      <c r="H13" s="183" t="str">
        <f>VLOOKUP(G13,'fom-pulldowns'!$C$9:$D$18,2,FALSE)</f>
        <v>4</v>
      </c>
      <c r="I13" s="177" t="s">
        <v>664</v>
      </c>
      <c r="J13" s="187" t="str">
        <f>VLOOKUP(I13,'fom-pulldowns'!$C$22:$D$31,2,FALSE)</f>
        <v>4</v>
      </c>
      <c r="K13" s="189" t="s">
        <v>625</v>
      </c>
      <c r="L13" s="187" t="str">
        <f>VLOOKUP(K13,'fom-pulldowns'!$C$35:$D$44,2,FALSE)</f>
        <v>1</v>
      </c>
      <c r="M13" s="192" t="s">
        <v>620</v>
      </c>
      <c r="N13" s="194" t="str">
        <f>VLOOKUP(M13,'fom-pulldowns'!$C$22:$D$31,2,FALSE)</f>
        <v>1</v>
      </c>
      <c r="O13" s="201" t="s">
        <v>625</v>
      </c>
      <c r="P13" s="194" t="str">
        <f>VLOOKUP(O13,'fom-pulldowns'!$C$35:$D$44,2,FALSE)</f>
        <v>1</v>
      </c>
      <c r="Q13" s="203" t="s">
        <v>620</v>
      </c>
      <c r="R13" s="205" t="str">
        <f>VLOOKUP(Q13,'fom-pulldowns'!$C$22:$D$31,2,FALSE)</f>
        <v>1</v>
      </c>
      <c r="S13" s="206" t="s">
        <v>625</v>
      </c>
      <c r="T13" s="205" t="str">
        <f>VLOOKUP(S13,'fom-pulldowns'!$C$35:$D$44,2,FALSE)</f>
        <v>1</v>
      </c>
    </row>
    <row r="14" spans="1:20" ht="12.75">
      <c r="A14" s="218" t="str">
        <f>HYPERLINK("https://docs.google.com/open?id=0B8aL7M45OFh_MDVkYWZkZGMtMzQ1Yy00ODI4LTg5N2QtZDAxMDQ4NzM2M2E5","Catalog Sign-Up and Removal Form on Customer Service Page")</f>
        <v>Catalog Sign-Up and Removal Form on Customer Service Page</v>
      </c>
      <c r="B14" s="8" t="s">
        <v>781</v>
      </c>
      <c r="C14" s="8" t="s">
        <v>111</v>
      </c>
      <c r="D14" s="181">
        <v>40862</v>
      </c>
      <c r="E14" s="181">
        <v>40953</v>
      </c>
      <c r="F14" s="165" t="str">
        <f t="shared" si="0"/>
        <v>0.71</v>
      </c>
      <c r="G14" s="173" t="s">
        <v>614</v>
      </c>
      <c r="H14" s="183" t="str">
        <f>VLOOKUP(G14,'fom-pulldowns'!$C$9:$D$18,2,FALSE)</f>
        <v>5</v>
      </c>
      <c r="I14" s="177" t="s">
        <v>652</v>
      </c>
      <c r="J14" s="187" t="str">
        <f>VLOOKUP(I14,'fom-pulldowns'!$C$22:$D$31,2,FALSE)</f>
        <v>2</v>
      </c>
      <c r="K14" s="189" t="s">
        <v>625</v>
      </c>
      <c r="L14" s="187" t="str">
        <f>VLOOKUP(K14,'fom-pulldowns'!$C$35:$D$44,2,FALSE)</f>
        <v>1</v>
      </c>
      <c r="M14" s="192" t="s">
        <v>652</v>
      </c>
      <c r="N14" s="194" t="str">
        <f>VLOOKUP(M14,'fom-pulldowns'!$C$22:$D$31,2,FALSE)</f>
        <v>2</v>
      </c>
      <c r="O14" s="201" t="s">
        <v>625</v>
      </c>
      <c r="P14" s="277"/>
      <c r="Q14" s="203" t="s">
        <v>620</v>
      </c>
      <c r="R14" s="205" t="str">
        <f>VLOOKUP(Q14,'fom-pulldowns'!$C$22:$D$31,2,FALSE)</f>
        <v>1</v>
      </c>
      <c r="S14" s="206" t="s">
        <v>625</v>
      </c>
      <c r="T14" s="205" t="str">
        <f>VLOOKUP(S14,'fom-pulldowns'!$C$35:$D$44,2,FALSE)</f>
        <v>1</v>
      </c>
    </row>
    <row r="15" spans="1:20" ht="12.75">
      <c r="A15" s="126" t="str">
        <f>HYPERLINK("https://docs.google.com/open?id=0B8aL7M45OFh_SVFoOHhUMURSS2lEVEh4U3VCUllzdw","Field Change Request for Email Sign-up Page (APAC)")</f>
        <v>Field Change Request for Email Sign-up Page (APAC)</v>
      </c>
      <c r="B15" s="5"/>
      <c r="C15" s="5"/>
      <c r="D15" s="7"/>
      <c r="E15" s="7"/>
      <c r="F15" s="165" t="str">
        <f t="shared" si="0"/>
        <v>0.50</v>
      </c>
      <c r="G15" s="173" t="s">
        <v>614</v>
      </c>
      <c r="H15" s="183" t="str">
        <f>VLOOKUP(G15,'fom-pulldowns'!$C$9:$D$18,2,FALSE)</f>
        <v>5</v>
      </c>
      <c r="I15" s="177" t="s">
        <v>620</v>
      </c>
      <c r="J15" s="187" t="str">
        <f>VLOOKUP(I15,'fom-pulldowns'!$C$22:$D$31,2,FALSE)</f>
        <v>1</v>
      </c>
      <c r="K15" s="189" t="s">
        <v>625</v>
      </c>
      <c r="L15" s="187" t="str">
        <f>VLOOKUP(K15,'fom-pulldowns'!$C$35:$D$44,2,FALSE)</f>
        <v>1</v>
      </c>
      <c r="M15" s="192" t="s">
        <v>620</v>
      </c>
      <c r="N15" s="194" t="str">
        <f>VLOOKUP(M15,'fom-pulldowns'!$C$22:$D$31,2,FALSE)</f>
        <v>1</v>
      </c>
      <c r="O15" s="201" t="s">
        <v>625</v>
      </c>
      <c r="P15" s="194" t="str">
        <f>VLOOKUP(O15,'fom-pulldowns'!$C$35:$D$44,2,FALSE)</f>
        <v>1</v>
      </c>
      <c r="Q15" s="203" t="s">
        <v>652</v>
      </c>
      <c r="R15" s="205" t="str">
        <f>VLOOKUP(Q15,'fom-pulldowns'!$C$22:$D$31,2,FALSE)</f>
        <v>2</v>
      </c>
      <c r="S15" s="206" t="s">
        <v>625</v>
      </c>
      <c r="T15" s="205" t="str">
        <f>VLOOKUP(S15,'fom-pulldowns'!$C$35:$D$44,2,FALSE)</f>
        <v>1</v>
      </c>
    </row>
    <row r="16" spans="1:20" ht="12.75">
      <c r="A16" s="126" t="str">
        <f>HYPERLINK("https://docs.google.com/file/d/0B8aL7M45OFh_bndfVUM5WUF4dm8/edit","Improved RMA Messaging")</f>
        <v>Improved RMA Messaging</v>
      </c>
      <c r="B16" s="5"/>
      <c r="C16" s="5"/>
      <c r="D16" s="7"/>
      <c r="E16" s="7"/>
      <c r="F16" s="165" t="str">
        <f t="shared" si="0"/>
        <v>0.50</v>
      </c>
      <c r="G16" s="173" t="s">
        <v>681</v>
      </c>
      <c r="H16" s="183" t="str">
        <f>VLOOKUP(G16,'fom-pulldowns'!$C$9:$D$18,2,FALSE)</f>
        <v>3</v>
      </c>
      <c r="I16" s="177" t="s">
        <v>620</v>
      </c>
      <c r="J16" s="187" t="str">
        <f>VLOOKUP(I16,'fom-pulldowns'!$C$22:$D$31,2,FALSE)</f>
        <v>1</v>
      </c>
      <c r="K16" s="189" t="s">
        <v>625</v>
      </c>
      <c r="L16" s="187" t="str">
        <f>VLOOKUP(K16,'fom-pulldowns'!$C$35:$D$44,2,FALSE)</f>
        <v>1</v>
      </c>
      <c r="M16" s="192" t="s">
        <v>620</v>
      </c>
      <c r="N16" s="194" t="str">
        <f>VLOOKUP(M16,'fom-pulldowns'!$C$22:$D$31,2,FALSE)</f>
        <v>1</v>
      </c>
      <c r="O16" s="201" t="s">
        <v>625</v>
      </c>
      <c r="P16" s="194" t="str">
        <f>VLOOKUP(O16,'fom-pulldowns'!$C$35:$D$44,2,FALSE)</f>
        <v>1</v>
      </c>
      <c r="Q16" s="203" t="s">
        <v>620</v>
      </c>
      <c r="R16" s="205" t="str">
        <f>VLOOKUP(Q16,'fom-pulldowns'!$C$22:$D$31,2,FALSE)</f>
        <v>1</v>
      </c>
      <c r="S16" s="206" t="s">
        <v>625</v>
      </c>
      <c r="T16" s="205" t="str">
        <f>VLOOKUP(S16,'fom-pulldowns'!$C$35:$D$44,2,FALSE)</f>
        <v>1</v>
      </c>
    </row>
    <row r="17" spans="1:20" ht="12.75">
      <c r="A17" s="126" t="str">
        <f>HYPERLINK("https://docs.google.com/open?id=0B8aL7M45OFh_UDVFVHA5bTlRdXFJRkhDcWlrRDFhZw","Mobile Only Couponing")</f>
        <v>Mobile Only Couponing</v>
      </c>
      <c r="B17" s="5"/>
      <c r="C17" s="5"/>
      <c r="D17" s="7"/>
      <c r="E17" s="7"/>
      <c r="F17" s="165" t="str">
        <f t="shared" si="0"/>
        <v>0.50</v>
      </c>
      <c r="G17" s="173" t="s">
        <v>614</v>
      </c>
      <c r="H17" s="183" t="str">
        <f>VLOOKUP(G17,'fom-pulldowns'!$C$9:$D$18,2,FALSE)</f>
        <v>5</v>
      </c>
      <c r="I17" s="177" t="s">
        <v>622</v>
      </c>
      <c r="J17" s="187" t="str">
        <f>VLOOKUP(I17,'fom-pulldowns'!$C$22:$D$31,2,FALSE)</f>
        <v>5</v>
      </c>
      <c r="K17" s="189" t="s">
        <v>659</v>
      </c>
      <c r="L17" s="187" t="str">
        <f>VLOOKUP(K17,'fom-pulldowns'!$C$35:$D$44,2,FALSE)</f>
        <v>3</v>
      </c>
      <c r="M17" s="192" t="s">
        <v>620</v>
      </c>
      <c r="N17" s="194" t="str">
        <f>VLOOKUP(M17,'fom-pulldowns'!$C$22:$D$31,2,FALSE)</f>
        <v>1</v>
      </c>
      <c r="O17" s="201" t="s">
        <v>625</v>
      </c>
      <c r="P17" s="194" t="str">
        <f>VLOOKUP(O17,'fom-pulldowns'!$C$35:$D$44,2,FALSE)</f>
        <v>1</v>
      </c>
      <c r="Q17" s="203" t="s">
        <v>620</v>
      </c>
      <c r="R17" s="205" t="str">
        <f>VLOOKUP(Q17,'fom-pulldowns'!$C$22:$D$31,2,FALSE)</f>
        <v>1</v>
      </c>
      <c r="S17" s="206" t="s">
        <v>807</v>
      </c>
      <c r="T17" s="205" t="str">
        <f>VLOOKUP(S17,'fom-pulldowns'!$C$35:$D$44,2,FALSE)</f>
        <v>5</v>
      </c>
    </row>
    <row r="18" spans="1:20" ht="12.75">
      <c r="A18" s="126" t="str">
        <f>HYPERLINK("https://docs.google.com/open?id=0B8aL7M45OFh_c2VPYTVqV19hQkk","Baltics Rollout")</f>
        <v>Baltics Rollout</v>
      </c>
      <c r="B18" s="5"/>
      <c r="C18" s="5"/>
      <c r="D18" s="7"/>
      <c r="E18" s="7"/>
      <c r="F18" s="165" t="str">
        <f t="shared" si="0"/>
        <v>0.50</v>
      </c>
      <c r="G18" s="173" t="s">
        <v>708</v>
      </c>
      <c r="H18" s="183" t="str">
        <f>VLOOKUP(G18,'fom-pulldowns'!$C$9:$D$18,2,FALSE)</f>
        <v>10</v>
      </c>
      <c r="I18" s="177" t="s">
        <v>620</v>
      </c>
      <c r="J18" s="187" t="str">
        <f>VLOOKUP(I18,'fom-pulldowns'!$C$22:$D$31,2,FALSE)</f>
        <v>1</v>
      </c>
      <c r="K18" s="189" t="s">
        <v>625</v>
      </c>
      <c r="L18" s="187" t="str">
        <f>VLOOKUP(K18,'fom-pulldowns'!$C$35:$D$44,2,FALSE)</f>
        <v>1</v>
      </c>
      <c r="M18" s="192" t="s">
        <v>622</v>
      </c>
      <c r="N18" s="194" t="str">
        <f>VLOOKUP(M18,'fom-pulldowns'!$C$22:$D$31,2,FALSE)</f>
        <v>5</v>
      </c>
      <c r="O18" s="201" t="s">
        <v>650</v>
      </c>
      <c r="P18" s="194" t="str">
        <f>VLOOKUP(O18,'fom-pulldowns'!$C$35:$D$44,2,FALSE)</f>
        <v>2</v>
      </c>
      <c r="Q18" s="203" t="s">
        <v>620</v>
      </c>
      <c r="R18" s="205" t="str">
        <f>VLOOKUP(Q18,'fom-pulldowns'!$C$22:$D$31,2,FALSE)</f>
        <v>1</v>
      </c>
      <c r="S18" s="206" t="s">
        <v>625</v>
      </c>
      <c r="T18" s="205" t="str">
        <f>VLOOKUP(S18,'fom-pulldowns'!$C$35:$D$44,2,FALSE)</f>
        <v>1</v>
      </c>
    </row>
    <row r="19" spans="1:20" ht="12.75">
      <c r="A19" s="218" t="str">
        <f>HYPERLINK("https://docs.google.com/open?id=0B8aL7M45OFh_ZWNlNzhmMjUtZTFmZC00ZGUxLWJlODUtN2Y1ZWUyNzJjMzE2","Seamless SMS-Opt-in Process Online")</f>
        <v>Seamless SMS-Opt-in Process Online</v>
      </c>
      <c r="B19" s="5"/>
      <c r="C19" s="8" t="s">
        <v>111</v>
      </c>
      <c r="D19" s="181">
        <v>40830</v>
      </c>
      <c r="E19" s="181">
        <v>40998</v>
      </c>
      <c r="F19" s="165" t="str">
        <f t="shared" si="0"/>
        <v>0.38</v>
      </c>
      <c r="G19" s="173" t="s">
        <v>614</v>
      </c>
      <c r="H19" s="183" t="str">
        <f>VLOOKUP(G19,'fom-pulldowns'!$C$9:$D$18,2,FALSE)</f>
        <v>5</v>
      </c>
      <c r="I19" s="177" t="s">
        <v>620</v>
      </c>
      <c r="J19" s="187" t="str">
        <f>VLOOKUP(I19,'fom-pulldowns'!$C$22:$D$31,2,FALSE)</f>
        <v>1</v>
      </c>
      <c r="K19" s="189" t="s">
        <v>625</v>
      </c>
      <c r="L19" s="187" t="str">
        <f>VLOOKUP(K19,'fom-pulldowns'!$C$35:$D$44,2,FALSE)</f>
        <v>1</v>
      </c>
      <c r="M19" s="192" t="s">
        <v>620</v>
      </c>
      <c r="N19" s="194" t="str">
        <f>VLOOKUP(M19,'fom-pulldowns'!$C$22:$D$31,2,FALSE)</f>
        <v>1</v>
      </c>
      <c r="O19" s="201" t="s">
        <v>625</v>
      </c>
      <c r="P19" s="194" t="str">
        <f>VLOOKUP(O19,'fom-pulldowns'!$C$35:$D$44,2,FALSE)</f>
        <v>1</v>
      </c>
      <c r="Q19" s="203" t="s">
        <v>620</v>
      </c>
      <c r="R19" s="205" t="str">
        <f>VLOOKUP(Q19,'fom-pulldowns'!$C$22:$D$31,2,FALSE)</f>
        <v>1</v>
      </c>
      <c r="S19" s="206" t="s">
        <v>625</v>
      </c>
      <c r="T19" s="205" t="str">
        <f>VLOOKUP(S19,'fom-pulldowns'!$C$35:$D$44,2,FALSE)</f>
        <v>1</v>
      </c>
    </row>
    <row r="20" spans="1:20" ht="12.75">
      <c r="A20" s="126" t="str">
        <f>HYPERLINK("https://docs.google.com/file/d/0B8aL7M45OFh_OWthNFlmaElFMHM/edit","Improved Filters")</f>
        <v>Improved Filters</v>
      </c>
      <c r="B20" s="5"/>
      <c r="C20" s="5"/>
      <c r="D20" s="7"/>
      <c r="E20" s="7"/>
      <c r="F20" s="165" t="str">
        <f t="shared" si="0"/>
        <v>0.38</v>
      </c>
      <c r="G20" s="173" t="s">
        <v>614</v>
      </c>
      <c r="H20" s="183" t="str">
        <f>VLOOKUP(G20,'fom-pulldowns'!$C$9:$D$18,2,FALSE)</f>
        <v>5</v>
      </c>
      <c r="I20" s="177" t="s">
        <v>620</v>
      </c>
      <c r="J20" s="187" t="str">
        <f>VLOOKUP(I20,'fom-pulldowns'!$C$22:$D$31,2,FALSE)</f>
        <v>1</v>
      </c>
      <c r="K20" s="189" t="s">
        <v>625</v>
      </c>
      <c r="L20" s="187" t="str">
        <f>VLOOKUP(K20,'fom-pulldowns'!$C$35:$D$44,2,FALSE)</f>
        <v>1</v>
      </c>
      <c r="M20" s="192" t="s">
        <v>620</v>
      </c>
      <c r="N20" s="194" t="str">
        <f>VLOOKUP(M20,'fom-pulldowns'!$C$22:$D$31,2,FALSE)</f>
        <v>1</v>
      </c>
      <c r="O20" s="201" t="s">
        <v>625</v>
      </c>
      <c r="P20" s="194" t="str">
        <f>VLOOKUP(O20,'fom-pulldowns'!$C$35:$D$44,2,FALSE)</f>
        <v>1</v>
      </c>
      <c r="Q20" s="203" t="s">
        <v>620</v>
      </c>
      <c r="R20" s="205" t="str">
        <f>VLOOKUP(Q20,'fom-pulldowns'!$C$22:$D$31,2,FALSE)</f>
        <v>1</v>
      </c>
      <c r="S20" s="206" t="s">
        <v>625</v>
      </c>
      <c r="T20" s="205" t="str">
        <f>VLOOKUP(S20,'fom-pulldowns'!$C$35:$D$44,2,FALSE)</f>
        <v>1</v>
      </c>
    </row>
    <row r="21" spans="1:20" ht="12.75">
      <c r="A21" s="126" t="str">
        <f>HYPERLINK("https://docs.google.com/open?id=0B8aL7M45OFh_ZmRienpzSlBROWVxNzhUY1hPNmZGUQ","Free Offers")</f>
        <v>Free Offers</v>
      </c>
      <c r="B21" s="5"/>
      <c r="C21" s="5"/>
      <c r="D21" s="7"/>
      <c r="E21" s="7"/>
      <c r="F21" s="165" t="str">
        <f t="shared" si="0"/>
        <v>0.36</v>
      </c>
      <c r="G21" s="173" t="s">
        <v>708</v>
      </c>
      <c r="H21" s="183" t="str">
        <f>VLOOKUP(G21,'fom-pulldowns'!$C$9:$D$18,2,FALSE)</f>
        <v>10</v>
      </c>
      <c r="I21" s="177" t="s">
        <v>620</v>
      </c>
      <c r="J21" s="187" t="str">
        <f>VLOOKUP(I21,'fom-pulldowns'!$C$22:$D$31,2,FALSE)</f>
        <v>1</v>
      </c>
      <c r="K21" s="189" t="s">
        <v>650</v>
      </c>
      <c r="L21" s="187" t="str">
        <f>VLOOKUP(K21,'fom-pulldowns'!$C$35:$D$44,2,FALSE)</f>
        <v>2</v>
      </c>
      <c r="M21" s="192" t="s">
        <v>652</v>
      </c>
      <c r="N21" s="194" t="str">
        <f>VLOOKUP(M21,'fom-pulldowns'!$C$22:$D$31,2,FALSE)</f>
        <v>2</v>
      </c>
      <c r="O21" s="201" t="s">
        <v>625</v>
      </c>
      <c r="P21" s="194" t="str">
        <f>VLOOKUP(O21,'fom-pulldowns'!$C$35:$D$44,2,FALSE)</f>
        <v>1</v>
      </c>
      <c r="Q21" s="203" t="s">
        <v>652</v>
      </c>
      <c r="R21" s="205" t="str">
        <f>VLOOKUP(Q21,'fom-pulldowns'!$C$22:$D$31,2,FALSE)</f>
        <v>2</v>
      </c>
      <c r="S21" s="206" t="s">
        <v>625</v>
      </c>
      <c r="T21" s="205" t="str">
        <f>VLOOKUP(S21,'fom-pulldowns'!$C$35:$D$44,2,FALSE)</f>
        <v>1</v>
      </c>
    </row>
    <row r="22" spans="1:20" ht="12.75">
      <c r="A22" s="126" t="str">
        <f>HYPERLINK("https://docs.google.com/open?id=0B8aL7M45OFh_cEdnWFRTX3NYSmM","PFD @ Work Loyalty Program")</f>
        <v>PFD @ Work Loyalty Program</v>
      </c>
      <c r="B22" s="5"/>
      <c r="C22" s="5"/>
      <c r="D22" s="7"/>
      <c r="E22" s="7"/>
      <c r="F22" s="165" t="str">
        <f t="shared" si="0"/>
        <v>0.21</v>
      </c>
      <c r="G22" s="173" t="s">
        <v>708</v>
      </c>
      <c r="H22" s="183" t="str">
        <f>VLOOKUP(G22,'fom-pulldowns'!$C$9:$D$18,2,FALSE)</f>
        <v>10</v>
      </c>
      <c r="I22" s="177" t="s">
        <v>620</v>
      </c>
      <c r="J22" s="187" t="str">
        <f>VLOOKUP(I22,'fom-pulldowns'!$C$22:$D$31,2,FALSE)</f>
        <v>1</v>
      </c>
      <c r="K22" s="189" t="s">
        <v>650</v>
      </c>
      <c r="L22" s="187" t="str">
        <f>VLOOKUP(K22,'fom-pulldowns'!$C$35:$D$44,2,FALSE)</f>
        <v>2</v>
      </c>
      <c r="M22" s="192" t="s">
        <v>620</v>
      </c>
      <c r="N22" s="194" t="str">
        <f>VLOOKUP(M22,'fom-pulldowns'!$C$22:$D$31,2,FALSE)</f>
        <v>1</v>
      </c>
      <c r="O22" s="201" t="s">
        <v>625</v>
      </c>
      <c r="P22" s="194" t="str">
        <f>VLOOKUP(O22,'fom-pulldowns'!$C$35:$D$44,2,FALSE)</f>
        <v>1</v>
      </c>
      <c r="Q22" s="203" t="s">
        <v>620</v>
      </c>
      <c r="R22" s="205" t="str">
        <f>VLOOKUP(Q22,'fom-pulldowns'!$C$22:$D$31,2,FALSE)</f>
        <v>1</v>
      </c>
      <c r="S22" s="206" t="s">
        <v>625</v>
      </c>
      <c r="T22" s="205" t="str">
        <f>VLOOKUP(S22,'fom-pulldowns'!$C$35:$D$44,2,FALSE)</f>
        <v>1</v>
      </c>
    </row>
    <row r="23" spans="1:20" ht="12.75">
      <c r="A23" s="126" t="str">
        <f>HYPERLINK("https://docs.google.com/open?id=0B8aL7M45OFh_Zjg4YzUxM2MtMTU4Mi00Y2Y4LWJlMWItNjRkOTNkMGIwM2Zl","Gift Card Bug Fix")</f>
        <v>Gift Card Bug Fix</v>
      </c>
      <c r="B23" s="5"/>
      <c r="C23" s="8" t="s">
        <v>133</v>
      </c>
      <c r="D23" s="181">
        <v>40923</v>
      </c>
      <c r="E23" s="181">
        <v>41030</v>
      </c>
      <c r="F23" s="165" t="str">
        <f t="shared" si="0"/>
        <v>0.20</v>
      </c>
      <c r="G23" s="173" t="s">
        <v>691</v>
      </c>
      <c r="H23" s="183" t="str">
        <f>VLOOKUP(G23,'fom-pulldowns'!$C$9:$D$18,2,FALSE)</f>
        <v>7</v>
      </c>
      <c r="I23" s="177" t="s">
        <v>620</v>
      </c>
      <c r="J23" s="187" t="str">
        <f>VLOOKUP(I23,'fom-pulldowns'!$C$22:$D$31,2,FALSE)</f>
        <v>1</v>
      </c>
      <c r="K23" s="189" t="s">
        <v>659</v>
      </c>
      <c r="L23" s="187" t="str">
        <f>VLOOKUP(K23,'fom-pulldowns'!$C$35:$D$44,2,FALSE)</f>
        <v>3</v>
      </c>
      <c r="M23" s="192" t="s">
        <v>620</v>
      </c>
      <c r="N23" s="194" t="str">
        <f>VLOOKUP(M23,'fom-pulldowns'!$C$22:$D$31,2,FALSE)</f>
        <v>1</v>
      </c>
      <c r="O23" s="201" t="s">
        <v>659</v>
      </c>
      <c r="P23" s="194" t="str">
        <f>VLOOKUP(O23,'fom-pulldowns'!$C$35:$D$44,2,FALSE)</f>
        <v>3</v>
      </c>
      <c r="Q23" s="203" t="s">
        <v>620</v>
      </c>
      <c r="R23" s="205" t="str">
        <f>VLOOKUP(Q23,'fom-pulldowns'!$C$22:$D$31,2,FALSE)</f>
        <v>1</v>
      </c>
      <c r="S23" s="206" t="s">
        <v>650</v>
      </c>
      <c r="T23" s="205" t="str">
        <f>VLOOKUP(S23,'fom-pulldowns'!$C$35:$D$44,2,FALSE)</f>
        <v>2</v>
      </c>
    </row>
    <row r="24" spans="1:20" ht="12.75">
      <c r="A24" s="8" t="s">
        <v>42</v>
      </c>
      <c r="B24" s="5"/>
      <c r="C24" s="5"/>
      <c r="D24" s="7"/>
      <c r="E24" s="7"/>
      <c r="F24" s="165" t="str">
        <f t="shared" si="0"/>
        <v>2.00</v>
      </c>
      <c r="G24" s="173" t="s">
        <v>681</v>
      </c>
      <c r="H24" s="183" t="str">
        <f>VLOOKUP(G24,'fom-pulldowns'!$C$9:$D$18,2,FALSE)</f>
        <v>3</v>
      </c>
      <c r="I24" s="177" t="s">
        <v>689</v>
      </c>
      <c r="J24" s="187" t="str">
        <f>VLOOKUP(I24,'fom-pulldowns'!$C$22:$D$31,2,FALSE)</f>
        <v>10</v>
      </c>
      <c r="K24" s="189" t="s">
        <v>625</v>
      </c>
      <c r="L24" s="187" t="str">
        <f>VLOOKUP(K24,'fom-pulldowns'!$C$35:$D$44,2,FALSE)</f>
        <v>1</v>
      </c>
      <c r="M24" s="192" t="s">
        <v>620</v>
      </c>
      <c r="N24" s="194" t="str">
        <f>VLOOKUP(M24,'fom-pulldowns'!$C$22:$D$31,2,FALSE)</f>
        <v>1</v>
      </c>
      <c r="O24" s="201" t="s">
        <v>625</v>
      </c>
      <c r="P24" s="194" t="str">
        <f>VLOOKUP(O24,'fom-pulldowns'!$C$35:$D$44,2,FALSE)</f>
        <v>1</v>
      </c>
      <c r="Q24" s="203" t="s">
        <v>620</v>
      </c>
      <c r="R24" s="205" t="str">
        <f>VLOOKUP(Q24,'fom-pulldowns'!$C$22:$D$31,2,FALSE)</f>
        <v>1</v>
      </c>
      <c r="S24" s="206" t="s">
        <v>625</v>
      </c>
      <c r="T24" s="205" t="str">
        <f>VLOOKUP(S24,'fom-pulldowns'!$C$35:$D$44,2,FALSE)</f>
        <v>1</v>
      </c>
    </row>
    <row r="25" spans="1:20" ht="12.75">
      <c r="A25" s="126" t="str">
        <f>HYPERLINK("https://docs.google.com/open?id=0B8aL7M45OFh_YVJTM1dFODdlSGM","Mobile Site Global Rollout")</f>
        <v>Mobile Site Global Rollout</v>
      </c>
      <c r="B25" s="5"/>
      <c r="C25" s="5"/>
      <c r="D25" s="7"/>
      <c r="E25" s="7"/>
      <c r="F25" s="165" t="str">
        <f t="shared" si="0"/>
        <v>1.47</v>
      </c>
      <c r="G25" s="173" t="s">
        <v>708</v>
      </c>
      <c r="H25" s="183" t="str">
        <f>VLOOKUP(G25,'fom-pulldowns'!$C$9:$D$18,2,FALSE)</f>
        <v>10</v>
      </c>
      <c r="I25" s="177" t="s">
        <v>689</v>
      </c>
      <c r="J25" s="187" t="str">
        <f>VLOOKUP(I25,'fom-pulldowns'!$C$22:$D$31,2,FALSE)</f>
        <v>10</v>
      </c>
      <c r="K25" s="189" t="s">
        <v>625</v>
      </c>
      <c r="L25" s="187" t="str">
        <f>VLOOKUP(K25,'fom-pulldowns'!$C$35:$D$44,2,FALSE)</f>
        <v>1</v>
      </c>
      <c r="M25" s="192" t="s">
        <v>689</v>
      </c>
      <c r="N25" s="194" t="str">
        <f>VLOOKUP(M25,'fom-pulldowns'!$C$22:$D$31,2,FALSE)</f>
        <v>10</v>
      </c>
      <c r="O25" s="201" t="s">
        <v>659</v>
      </c>
      <c r="P25" s="194" t="str">
        <f>VLOOKUP(O25,'fom-pulldowns'!$C$35:$D$44,2,FALSE)</f>
        <v>3</v>
      </c>
      <c r="Q25" s="203" t="s">
        <v>622</v>
      </c>
      <c r="R25" s="205" t="str">
        <f>VLOOKUP(Q25,'fom-pulldowns'!$C$22:$D$31,2,FALSE)</f>
        <v>5</v>
      </c>
      <c r="S25" s="206" t="s">
        <v>659</v>
      </c>
      <c r="T25" s="205" t="str">
        <f>VLOOKUP(S25,'fom-pulldowns'!$C$35:$D$44,2,FALSE)</f>
        <v>3</v>
      </c>
    </row>
    <row r="26" spans="1:20" ht="12.75">
      <c r="A26" s="126" t="str">
        <f>HYPERLINK("https://docs.google.com/open?id=0B8aL7M45OFh_NzRzNGhybzlUeFk","CrocsRx.ca")</f>
        <v>CrocsRx.ca</v>
      </c>
      <c r="B26" s="5"/>
      <c r="C26" s="5"/>
      <c r="D26" s="7"/>
      <c r="E26" s="7"/>
      <c r="F26" s="165" t="str">
        <f t="shared" si="0"/>
        <v>0.63</v>
      </c>
      <c r="G26" s="173" t="s">
        <v>614</v>
      </c>
      <c r="H26" s="183" t="str">
        <f>VLOOKUP(G26,'fom-pulldowns'!$C$9:$D$18,2,FALSE)</f>
        <v>5</v>
      </c>
      <c r="I26" s="177" t="s">
        <v>599</v>
      </c>
      <c r="J26" s="187" t="str">
        <f>VLOOKUP(I26,'fom-pulldowns'!$C$22:$D$31,2,FALSE)</f>
        <v>3</v>
      </c>
      <c r="K26" s="189" t="s">
        <v>625</v>
      </c>
      <c r="L26" s="187" t="str">
        <f>VLOOKUP(K26,'fom-pulldowns'!$C$35:$D$44,2,FALSE)</f>
        <v>1</v>
      </c>
      <c r="M26" s="192" t="s">
        <v>620</v>
      </c>
      <c r="N26" s="194" t="str">
        <f>VLOOKUP(M26,'fom-pulldowns'!$C$22:$D$31,2,FALSE)</f>
        <v>1</v>
      </c>
      <c r="O26" s="201" t="s">
        <v>625</v>
      </c>
      <c r="P26" s="194" t="str">
        <f>VLOOKUP(O26,'fom-pulldowns'!$C$35:$D$44,2,FALSE)</f>
        <v>1</v>
      </c>
      <c r="Q26" s="203" t="s">
        <v>620</v>
      </c>
      <c r="R26" s="205" t="str">
        <f>VLOOKUP(Q26,'fom-pulldowns'!$C$22:$D$31,2,FALSE)</f>
        <v>1</v>
      </c>
      <c r="S26" s="206" t="s">
        <v>625</v>
      </c>
      <c r="T26" s="205" t="str">
        <f>VLOOKUP(S26,'fom-pulldowns'!$C$35:$D$44,2,FALSE)</f>
        <v>1</v>
      </c>
    </row>
    <row r="27" spans="1:20" ht="12.75">
      <c r="A27" s="5"/>
      <c r="B27" s="5"/>
      <c r="C27" s="5"/>
      <c r="D27" s="7"/>
      <c r="E27" s="7"/>
      <c r="F27" s="165"/>
      <c r="G27" s="184"/>
      <c r="H27" s="282"/>
      <c r="I27" s="284"/>
      <c r="J27" s="316"/>
      <c r="K27" s="317"/>
      <c r="L27" s="316"/>
      <c r="M27" s="318"/>
      <c r="N27" s="277"/>
      <c r="O27" s="319"/>
      <c r="P27" s="277"/>
      <c r="Q27" s="320"/>
      <c r="R27" s="321"/>
      <c r="S27" s="322"/>
      <c r="T27" s="321"/>
    </row>
    <row r="28" spans="1:20" ht="12.75">
      <c r="A28" s="5"/>
      <c r="B28" s="5"/>
      <c r="C28" s="5"/>
      <c r="D28" s="7"/>
      <c r="E28" s="7"/>
      <c r="F28" s="165"/>
      <c r="G28" s="184"/>
      <c r="H28" s="282"/>
      <c r="I28" s="284"/>
      <c r="J28" s="316"/>
      <c r="K28" s="317"/>
      <c r="L28" s="316"/>
      <c r="M28" s="318"/>
      <c r="N28" s="277"/>
      <c r="O28" s="319"/>
      <c r="P28" s="277"/>
      <c r="Q28" s="320"/>
      <c r="R28" s="321"/>
      <c r="S28" s="322"/>
      <c r="T28" s="321"/>
    </row>
    <row r="29" spans="1:20" ht="12.75">
      <c r="A29" s="5"/>
      <c r="B29" s="5"/>
      <c r="C29" s="5"/>
      <c r="D29" s="7"/>
      <c r="E29" s="7"/>
      <c r="F29" s="165"/>
      <c r="G29" s="184"/>
      <c r="H29" s="282"/>
      <c r="I29" s="284"/>
      <c r="J29" s="316"/>
      <c r="K29" s="317"/>
      <c r="L29" s="316"/>
      <c r="M29" s="318"/>
      <c r="N29" s="277"/>
      <c r="O29" s="319"/>
      <c r="P29" s="277"/>
      <c r="Q29" s="320"/>
      <c r="R29" s="321"/>
      <c r="S29" s="322"/>
      <c r="T29" s="321"/>
    </row>
    <row r="30" spans="1:20" ht="12.75">
      <c r="A30" s="5"/>
      <c r="B30" s="5"/>
      <c r="C30" s="5"/>
      <c r="D30" s="7"/>
      <c r="E30" s="7"/>
      <c r="F30" s="165"/>
      <c r="G30" s="184"/>
      <c r="H30" s="282"/>
      <c r="I30" s="284"/>
      <c r="J30" s="316"/>
      <c r="K30" s="317"/>
      <c r="L30" s="316"/>
      <c r="M30" s="318"/>
      <c r="N30" s="277"/>
      <c r="O30" s="319"/>
      <c r="P30" s="277"/>
      <c r="Q30" s="320"/>
      <c r="R30" s="321"/>
      <c r="S30" s="322"/>
      <c r="T30" s="321"/>
    </row>
    <row r="31" spans="1:20" ht="12.75">
      <c r="A31" s="5"/>
      <c r="B31" s="5"/>
      <c r="C31" s="5"/>
      <c r="D31" s="7"/>
      <c r="E31" s="7"/>
      <c r="F31" s="165"/>
      <c r="G31" s="184"/>
      <c r="H31" s="282"/>
      <c r="I31" s="284"/>
      <c r="J31" s="316"/>
      <c r="K31" s="317"/>
      <c r="L31" s="316"/>
      <c r="M31" s="318"/>
      <c r="N31" s="277"/>
      <c r="O31" s="319"/>
      <c r="P31" s="277"/>
      <c r="Q31" s="320"/>
      <c r="R31" s="321"/>
      <c r="S31" s="322"/>
      <c r="T31" s="321"/>
    </row>
    <row r="32" spans="1:20" ht="12.75">
      <c r="A32" s="5"/>
      <c r="B32" s="5"/>
      <c r="C32" s="5"/>
      <c r="D32" s="7"/>
      <c r="E32" s="7"/>
      <c r="F32" s="165"/>
      <c r="G32" s="184"/>
      <c r="H32" s="282"/>
      <c r="I32" s="284"/>
      <c r="J32" s="316"/>
      <c r="K32" s="317"/>
      <c r="L32" s="316"/>
      <c r="M32" s="318"/>
      <c r="N32" s="277"/>
      <c r="O32" s="319"/>
      <c r="P32" s="277"/>
      <c r="Q32" s="320"/>
      <c r="R32" s="321"/>
      <c r="S32" s="322"/>
      <c r="T32" s="321"/>
    </row>
    <row r="33" spans="1:20" ht="12.75">
      <c r="A33" s="5"/>
      <c r="B33" s="5"/>
      <c r="C33" s="5"/>
      <c r="D33" s="7"/>
      <c r="E33" s="7"/>
      <c r="F33" s="165"/>
      <c r="G33" s="184"/>
      <c r="H33" s="282"/>
      <c r="I33" s="284"/>
      <c r="J33" s="316"/>
      <c r="K33" s="317"/>
      <c r="L33" s="316"/>
      <c r="M33" s="318"/>
      <c r="N33" s="277"/>
      <c r="O33" s="319"/>
      <c r="P33" s="277"/>
      <c r="Q33" s="320"/>
      <c r="R33" s="321"/>
      <c r="S33" s="322"/>
      <c r="T33" s="321"/>
    </row>
    <row r="34" spans="1:20" ht="24" customHeight="1">
      <c r="A34" s="323" t="s">
        <v>826</v>
      </c>
      <c r="B34" s="42"/>
      <c r="C34" s="42"/>
      <c r="D34" s="42"/>
      <c r="E34" s="42"/>
      <c r="F34" s="42"/>
      <c r="G34" s="42"/>
      <c r="H34" s="42"/>
      <c r="I34" s="42"/>
      <c r="J34" s="42"/>
      <c r="K34" s="42"/>
      <c r="L34" s="42"/>
      <c r="M34" s="42"/>
      <c r="N34" s="42"/>
      <c r="O34" s="42"/>
      <c r="P34" s="42"/>
      <c r="Q34" s="42"/>
      <c r="R34" s="42"/>
      <c r="S34" s="42"/>
      <c r="T34" s="44"/>
    </row>
    <row r="35" spans="1:20" ht="12.75">
      <c r="A35" s="126" t="str">
        <f>HYPERLINK("https://docs.google.com/open?id=0B8aL7M45OFh_MnRjbzlVb3JTdks1UWEwWXBmMFFVZw","Kount (fraud management) in APAC")</f>
        <v>Kount (fraud management) in APAC</v>
      </c>
      <c r="B35" s="5"/>
      <c r="C35" s="5"/>
      <c r="D35" s="7"/>
      <c r="E35" s="7"/>
      <c r="F35" s="165" t="str">
        <f aca="true" t="shared" si="1" ref="F35:F37">(J35+N35+R35)/(T35+P35+L35+H35)</f>
        <v>0.30</v>
      </c>
      <c r="G35" s="173" t="s">
        <v>691</v>
      </c>
      <c r="H35" s="183" t="str">
        <f>VLOOKUP(G35,'fom-pulldowns'!$C$9:$D$18,2,FALSE)</f>
        <v>7</v>
      </c>
      <c r="I35" s="177" t="s">
        <v>620</v>
      </c>
      <c r="J35" s="187" t="str">
        <f>VLOOKUP(I35,'fom-pulldowns'!$C$22:$D$31,2,FALSE)</f>
        <v>1</v>
      </c>
      <c r="K35" s="189" t="s">
        <v>625</v>
      </c>
      <c r="L35" s="187" t="str">
        <f>VLOOKUP(K35,'fom-pulldowns'!$C$35:$D$44,2,FALSE)</f>
        <v>1</v>
      </c>
      <c r="M35" s="192" t="s">
        <v>620</v>
      </c>
      <c r="N35" s="194" t="str">
        <f>VLOOKUP(M35,'fom-pulldowns'!$C$22:$D$31,2,FALSE)</f>
        <v>1</v>
      </c>
      <c r="O35" s="201" t="s">
        <v>625</v>
      </c>
      <c r="P35" s="194" t="str">
        <f>VLOOKUP(O35,'fom-pulldowns'!$C$35:$D$44,2,FALSE)</f>
        <v>1</v>
      </c>
      <c r="Q35" s="203" t="s">
        <v>620</v>
      </c>
      <c r="R35" s="205" t="str">
        <f>VLOOKUP(Q35,'fom-pulldowns'!$C$22:$D$31,2,FALSE)</f>
        <v>1</v>
      </c>
      <c r="S35" s="206" t="s">
        <v>625</v>
      </c>
      <c r="T35" s="205" t="str">
        <f>VLOOKUP(S35,'fom-pulldowns'!$C$35:$D$44,2,FALSE)</f>
        <v>1</v>
      </c>
    </row>
    <row r="36" spans="1:20" ht="12.75">
      <c r="A36" s="126" t="str">
        <f>HYPERLINK("https://docs.google.com/open?id=0B8aL7M45OFh_Nmh6STQ5RjBITEE","Expanding Wish List Feature")</f>
        <v>Expanding Wish List Feature</v>
      </c>
      <c r="B36" s="5"/>
      <c r="C36" s="5"/>
      <c r="D36" s="7"/>
      <c r="E36" s="7"/>
      <c r="F36" s="165" t="e">
        <f t="shared" si="1"/>
        <v>#N/A</v>
      </c>
      <c r="G36" s="184"/>
      <c r="H36" s="183" t="e">
        <f>VLOOKUP(G36,'fom-pulldowns'!$C$9:$D$18,2,FALSE)</f>
        <v>#N/A</v>
      </c>
      <c r="I36" s="177" t="s">
        <v>664</v>
      </c>
      <c r="J36" s="187" t="str">
        <f>VLOOKUP(I36,'fom-pulldowns'!$C$22:$D$31,2,FALSE)</f>
        <v>4</v>
      </c>
      <c r="K36" s="189" t="s">
        <v>625</v>
      </c>
      <c r="L36" s="187" t="str">
        <f>VLOOKUP(K36,'fom-pulldowns'!$C$35:$D$44,2,FALSE)</f>
        <v>1</v>
      </c>
      <c r="M36" s="192" t="s">
        <v>620</v>
      </c>
      <c r="N36" s="194" t="str">
        <f>VLOOKUP(M36,'fom-pulldowns'!$C$22:$D$31,2,FALSE)</f>
        <v>1</v>
      </c>
      <c r="O36" s="201" t="s">
        <v>625</v>
      </c>
      <c r="P36" s="194" t="str">
        <f>VLOOKUP(O36,'fom-pulldowns'!$C$35:$D$44,2,FALSE)</f>
        <v>1</v>
      </c>
      <c r="Q36" s="203" t="s">
        <v>620</v>
      </c>
      <c r="R36" s="205" t="str">
        <f>VLOOKUP(Q36,'fom-pulldowns'!$C$22:$D$31,2,FALSE)</f>
        <v>1</v>
      </c>
      <c r="S36" s="206" t="s">
        <v>625</v>
      </c>
      <c r="T36" s="205" t="str">
        <f>VLOOKUP(S36,'fom-pulldowns'!$C$35:$D$44,2,FALSE)</f>
        <v>1</v>
      </c>
    </row>
    <row r="37" spans="1:20" ht="12.75">
      <c r="A37" s="8" t="s">
        <v>829</v>
      </c>
      <c r="B37" s="5"/>
      <c r="C37" s="5"/>
      <c r="D37" s="7"/>
      <c r="E37" s="7"/>
      <c r="F37" s="165" t="e">
        <f t="shared" si="1"/>
        <v>#N/A</v>
      </c>
      <c r="G37" s="184"/>
      <c r="H37" s="183" t="e">
        <f>VLOOKUP(G37,'fom-pulldowns'!$C$9:$D$18,2,FALSE)</f>
        <v>#N/A</v>
      </c>
      <c r="I37" s="284"/>
      <c r="J37" s="187" t="e">
        <f>VLOOKUP(I37,'fom-pulldowns'!$C$22:$D$31,2,FALSE)</f>
        <v>#N/A</v>
      </c>
      <c r="K37" s="317"/>
      <c r="L37" s="187" t="e">
        <f>VLOOKUP(K37,'fom-pulldowns'!$C$35:$D$44,2,FALSE)</f>
        <v>#N/A</v>
      </c>
      <c r="M37" s="318"/>
      <c r="N37" s="194" t="e">
        <f>VLOOKUP(M37,'fom-pulldowns'!$C$22:$D$31,2,FALSE)</f>
        <v>#N/A</v>
      </c>
      <c r="O37" s="319"/>
      <c r="P37" s="194" t="e">
        <f>VLOOKUP(O37,'fom-pulldowns'!$C$35:$D$44,2,FALSE)</f>
        <v>#N/A</v>
      </c>
      <c r="Q37" s="320"/>
      <c r="R37" s="205" t="e">
        <f>VLOOKUP(Q37,'fom-pulldowns'!$C$22:$D$31,2,FALSE)</f>
        <v>#N/A</v>
      </c>
      <c r="S37" s="322"/>
      <c r="T37" s="205" t="e">
        <f>VLOOKUP(S37,'fom-pulldowns'!$C$35:$D$44,2,FALSE)</f>
        <v>#N/A</v>
      </c>
    </row>
    <row r="38" spans="1:20" ht="12.75">
      <c r="A38" s="21"/>
      <c r="B38" s="21"/>
      <c r="C38" s="21"/>
      <c r="D38" s="324"/>
      <c r="E38" s="324"/>
      <c r="F38" s="325"/>
      <c r="G38" s="326"/>
      <c r="H38" s="326"/>
      <c r="I38" s="327"/>
      <c r="J38" s="328"/>
      <c r="K38" s="328"/>
      <c r="L38" s="328"/>
      <c r="M38" s="329"/>
      <c r="N38" s="330"/>
      <c r="O38" s="330"/>
      <c r="P38" s="331"/>
      <c r="Q38" s="332"/>
      <c r="R38" s="333"/>
      <c r="S38" s="333"/>
      <c r="T38" s="334"/>
    </row>
    <row r="39" spans="4:20" ht="12.75">
      <c r="D39" s="246"/>
      <c r="E39" s="246"/>
      <c r="F39" s="335"/>
      <c r="G39" s="336"/>
      <c r="H39" s="336"/>
      <c r="I39" s="337"/>
      <c r="J39" s="338"/>
      <c r="K39" s="338"/>
      <c r="L39" s="338"/>
      <c r="M39" s="339"/>
      <c r="N39" s="340"/>
      <c r="O39" s="340"/>
      <c r="P39" s="341"/>
      <c r="Q39" s="342"/>
      <c r="R39" s="343"/>
      <c r="S39" s="343"/>
      <c r="T39" s="344"/>
    </row>
    <row r="40" spans="4:20" ht="12.75">
      <c r="D40" s="246"/>
      <c r="E40" s="246"/>
      <c r="F40" s="345"/>
      <c r="G40" s="345"/>
      <c r="H40" s="345"/>
      <c r="I40" s="345"/>
      <c r="Q40" s="21"/>
      <c r="R40" s="21"/>
      <c r="S40" s="21"/>
      <c r="T40" s="21"/>
    </row>
    <row r="41" spans="4:9" ht="12.75">
      <c r="D41" s="246"/>
      <c r="E41" s="246"/>
      <c r="F41" s="345"/>
      <c r="G41" s="345"/>
      <c r="H41" s="345"/>
      <c r="I41" s="345"/>
    </row>
    <row r="42" spans="4:9" ht="12.75">
      <c r="D42" s="246"/>
      <c r="E42" s="246"/>
      <c r="F42" s="345"/>
      <c r="G42" s="345"/>
      <c r="H42" s="345"/>
      <c r="I42" s="345"/>
    </row>
    <row r="43" spans="4:9" ht="12.75">
      <c r="D43" s="246"/>
      <c r="E43" s="246"/>
      <c r="F43" s="345"/>
      <c r="G43" s="345"/>
      <c r="H43" s="345"/>
      <c r="I43" s="345"/>
    </row>
  </sheetData>
  <mergeCells count="10">
    <mergeCell ref="C1:C2"/>
    <mergeCell ref="A1:A2"/>
    <mergeCell ref="D1:D2"/>
    <mergeCell ref="E1:E2"/>
    <mergeCell ref="F1:F2"/>
    <mergeCell ref="G1:H1"/>
    <mergeCell ref="I1:L1"/>
    <mergeCell ref="M1:P1"/>
    <mergeCell ref="Q1:T1"/>
    <mergeCell ref="A34:T34"/>
  </mergeCells>
  <dataValidations count="3">
    <dataValidation type="list" allowBlank="1" showErrorMessage="1" sqref="G3:G33 G35:G37">
      <formula1>'fom-pulldowns'!$C$9:$C$18</formula1>
    </dataValidation>
    <dataValidation type="list" allowBlank="1" showErrorMessage="1" sqref="I3:I33 M3:M33 Q3:Q33 I35:I37 M35:M37 Q35:Q37">
      <formula1>'fom-pulldowns'!$C$22:$C$31</formula1>
    </dataValidation>
    <dataValidation type="list" allowBlank="1" showErrorMessage="1" sqref="K3:K33 O3:O33 S3:S33 K35:K37 O35:O37 S35:S37">
      <formula1>'fom-pulldowns'!$C$35:$C$44</formula1>
    </dataValidation>
  </dataValidations>
  <hyperlinks>
    <hyperlink ref="A3" r:id="rId1" display="https://docs.google.com/open?id=0B8aL7M45OFh_NThiZmYzZGItZGZkZC00MTU4LThkYjItMGY0NjBjMmE0ZTFh"/>
    <hyperlink ref="A4" r:id="rId2" display="https://docs.google.com/open?id=0B8aL7M45OFh_VWpienQ1cEFIdHc"/>
    <hyperlink ref="A5" r:id="rId3" display="https://docs.google.com/open?id=0B8aL7M45OFh_NWMxZWZlNTQtNzMxNy00ZTM4LWIzNmYtMzk1NmM2ZmE0YmIz"/>
    <hyperlink ref="A6" r:id="rId4" display="https://docs.google.com/open?id=0B8aL7M45OFh_Y2U0NjBhNzAtYWMyNC00ZGFhLWI2MmEtYjA3MDUzNTVhYjE4"/>
    <hyperlink ref="A7" r:id="rId5" display="https://docs.google.com/leaf?id=0B8aL7M45OFh_YzMxMmRmMzgtYTc4Yi00MjEyLWFmMTQtNDI5Y2Y5OGNiM2Ez&amp;hl=en_US"/>
    <hyperlink ref="A8" r:id="rId6" display="https://docs.google.com/leaf?id=0B8aL7M45OFh_NWVlMzBhODYtOTg2Ny00NjljLWIzMmUtY2Q2ZjAzY2VjODRh&amp;hl=en_US&amp;authkey=CIXEreAI"/>
    <hyperlink ref="A9" r:id="rId7" display="https://docs.google.com/leaf?id=0B8aL7M45OFh_YTc0NjNjMzMtZWMyMi00M2VlLTg5MmItYWY3ODVjYjRlZjc1&amp;hl=en&amp;authkey=CJ3DpoEB"/>
    <hyperlink ref="A10" r:id="rId8" display="https://docs.google.com/leaf?id=0B8aL7M45OFh_MmQ5NjdkN2MtYmExYi00YzI3LWJlNWMtN2YxZWMxZGJkZjQ4&amp;hl=en_US&amp;authkey=CPunlMYO"/>
    <hyperlink ref="A11" r:id="rId9" display="https://docs.google.com/open?id=0B8aL7M45OFh_VDFNdGJEQ3hSSm1iVjA0WTAwTVlEUQ"/>
    <hyperlink ref="A12" r:id="rId10" display="https://docs.google.com/open?id=0B8aL7M45OFh_MzE0N2I4MmUtNTEwMC00NDg3LWFhZDgtODBlZGFhMTgxYTgy"/>
    <hyperlink ref="A13" r:id="rId11" display="https://docs.google.com/open?id=0B8aL7M45OFh_UkV3eXp0bkctZ2c"/>
    <hyperlink ref="A14" r:id="rId12" display="https://docs.google.com/open?id=0B8aL7M45OFh_MDVkYWZkZGMtMzQ1Yy00ODI4LTg5N2QtZDAxMDQ4NzM2M2E5"/>
    <hyperlink ref="A15" r:id="rId13" display="https://docs.google.com/open?id=0B8aL7M45OFh_SVFoOHhUMURSS2lEVEh4U3VCUllzdw"/>
    <hyperlink ref="A16" r:id="rId14" display="https://docs.google.com/file/d/0B8aL7M45OFh_bndfVUM5WUF4dm8/edit"/>
    <hyperlink ref="A17" r:id="rId15" display="https://docs.google.com/open?id=0B8aL7M45OFh_UDVFVHA5bTlRdXFJRkhDcWlrRDFhZw"/>
    <hyperlink ref="A18" r:id="rId16" display="https://docs.google.com/open?id=0B8aL7M45OFh_c2VPYTVqV19hQkk"/>
    <hyperlink ref="A19" r:id="rId17" display="https://docs.google.com/open?id=0B8aL7M45OFh_ZWNlNzhmMjUtZTFmZC00ZGUxLWJlODUtN2Y1ZWUyNzJjMzE2"/>
    <hyperlink ref="A20" r:id="rId18" display="https://docs.google.com/file/d/0B8aL7M45OFh_OWthNFlmaElFMHM/edit"/>
    <hyperlink ref="A21" r:id="rId19" display="https://docs.google.com/open?id=0B8aL7M45OFh_ZmRienpzSlBROWVxNzhUY1hPNmZGUQ"/>
    <hyperlink ref="A22" r:id="rId20" display="https://docs.google.com/open?id=0B8aL7M45OFh_cEdnWFRTX3NYSmM"/>
    <hyperlink ref="A23" r:id="rId21" display="https://docs.google.com/open?id=0B8aL7M45OFh_Zjg4YzUxM2MtMTU4Mi00Y2Y4LWJlMWItNjRkOTNkMGIwM2Zl"/>
    <hyperlink ref="A25" r:id="rId22" display="https://docs.google.com/open?id=0B8aL7M45OFh_YVJTM1dFODdlSGM"/>
    <hyperlink ref="A26" r:id="rId23" display="https://docs.google.com/open?id=0B8aL7M45OFh_NzRzNGhybzlUeFk"/>
    <hyperlink ref="A35" r:id="rId24" display="https://docs.google.com/open?id=0B8aL7M45OFh_MnRjbzlVb3JTdks1UWEwWXBmMFFVZw"/>
    <hyperlink ref="A36" r:id="rId25" display="https://docs.google.com/open?id=0B8aL7M45OFh_Nmh6STQ5RjBITEE"/>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U40"/>
  <sheetViews>
    <sheetView workbookViewId="0" topLeftCell="A1">
      <pane xSplit="1" ySplit="2" topLeftCell="B3" activePane="bottomRight" state="frozen"/>
      <selection pane="topRight" activeCell="B1" sqref="B1"/>
      <selection pane="bottomLeft" activeCell="A3" sqref="A3"/>
      <selection pane="bottomRight" activeCell="B3" sqref="B3"/>
    </sheetView>
  </sheetViews>
  <sheetFormatPr defaultColWidth="14.421875" defaultRowHeight="12.75" customHeight="1"/>
  <cols>
    <col min="1" max="1" width="17.28125" style="0" customWidth="1"/>
    <col min="2" max="2" width="29.00390625" style="0" customWidth="1"/>
    <col min="3" max="3" width="15.140625" style="0" customWidth="1"/>
    <col min="4" max="16" width="8.00390625" style="0" customWidth="1"/>
    <col min="17" max="17" width="7.28125" style="0" customWidth="1"/>
    <col min="18" max="18" width="7.7109375" style="0" customWidth="1"/>
    <col min="19" max="19" width="7.421875" style="0" customWidth="1"/>
    <col min="20" max="20" width="9.140625" style="0" customWidth="1"/>
    <col min="21" max="21" width="8.7109375" style="0" customWidth="1"/>
  </cols>
  <sheetData>
    <row r="1" ht="12" customHeight="1">
      <c r="D1" s="29" t="s">
        <v>6</v>
      </c>
    </row>
    <row r="2" spans="1:21" ht="12" customHeight="1">
      <c r="A2" s="15" t="s">
        <v>4</v>
      </c>
      <c r="B2" s="15" t="s">
        <v>18</v>
      </c>
      <c r="C2" s="15" t="s">
        <v>138</v>
      </c>
      <c r="D2" s="30">
        <v>41124</v>
      </c>
      <c r="E2" s="32" t="str">
        <f aca="true" t="shared" si="0" ref="E2:U2">D2+7</f>
        <v>8/10</v>
      </c>
      <c r="F2" s="32" t="str">
        <f t="shared" si="0"/>
        <v>8/17</v>
      </c>
      <c r="G2" s="32" t="str">
        <f t="shared" si="0"/>
        <v>8/24</v>
      </c>
      <c r="H2" s="32" t="str">
        <f t="shared" si="0"/>
        <v>8/31</v>
      </c>
      <c r="I2" s="32" t="str">
        <f t="shared" si="0"/>
        <v>9/7</v>
      </c>
      <c r="J2" s="32" t="str">
        <f t="shared" si="0"/>
        <v>9/14</v>
      </c>
      <c r="K2" s="32" t="str">
        <f t="shared" si="0"/>
        <v>9/21</v>
      </c>
      <c r="L2" s="32" t="str">
        <f t="shared" si="0"/>
        <v>9/28</v>
      </c>
      <c r="M2" s="32" t="str">
        <f t="shared" si="0"/>
        <v>10/5</v>
      </c>
      <c r="N2" s="32" t="str">
        <f t="shared" si="0"/>
        <v>10/12</v>
      </c>
      <c r="O2" s="32" t="str">
        <f t="shared" si="0"/>
        <v>10/19</v>
      </c>
      <c r="P2" s="32" t="str">
        <f t="shared" si="0"/>
        <v>10/26</v>
      </c>
      <c r="Q2" s="32" t="str">
        <f t="shared" si="0"/>
        <v>11/2</v>
      </c>
      <c r="R2" s="32" t="str">
        <f t="shared" si="0"/>
        <v>11/9</v>
      </c>
      <c r="S2" s="32" t="str">
        <f t="shared" si="0"/>
        <v>11/16</v>
      </c>
      <c r="T2" s="32" t="str">
        <f t="shared" si="0"/>
        <v>11/23</v>
      </c>
      <c r="U2" s="32" t="str">
        <f t="shared" si="0"/>
        <v>11/30</v>
      </c>
    </row>
    <row r="3" spans="1:18" ht="12" customHeight="1">
      <c r="A3" s="15" t="s">
        <v>47</v>
      </c>
      <c r="B3" s="15" t="s">
        <v>142</v>
      </c>
      <c r="C3" s="15">
        <v>40</v>
      </c>
      <c r="D3" s="50" t="s">
        <v>143</v>
      </c>
      <c r="E3" s="15" t="s">
        <v>143</v>
      </c>
      <c r="F3" s="15" t="s">
        <v>143</v>
      </c>
      <c r="G3" s="15" t="s">
        <v>143</v>
      </c>
      <c r="H3" s="15" t="s">
        <v>143</v>
      </c>
      <c r="I3" s="15" t="s">
        <v>143</v>
      </c>
      <c r="J3" s="15" t="s">
        <v>143</v>
      </c>
      <c r="K3" s="15" t="s">
        <v>143</v>
      </c>
      <c r="L3" s="15" t="s">
        <v>143</v>
      </c>
      <c r="M3" s="15" t="s">
        <v>143</v>
      </c>
      <c r="N3" s="15" t="s">
        <v>143</v>
      </c>
      <c r="O3" s="15" t="s">
        <v>143</v>
      </c>
      <c r="P3" s="15" t="s">
        <v>143</v>
      </c>
      <c r="Q3" s="15" t="s">
        <v>143</v>
      </c>
      <c r="R3" s="15" t="s">
        <v>143</v>
      </c>
    </row>
    <row r="4" spans="2:11" ht="12" customHeight="1">
      <c r="B4" s="15" t="s">
        <v>153</v>
      </c>
      <c r="C4" s="15">
        <v>40</v>
      </c>
      <c r="D4" s="15" t="s">
        <v>143</v>
      </c>
      <c r="E4" s="15" t="s">
        <v>143</v>
      </c>
      <c r="F4" s="15" t="s">
        <v>143</v>
      </c>
      <c r="G4" s="15" t="s">
        <v>143</v>
      </c>
      <c r="H4" s="15" t="s">
        <v>143</v>
      </c>
      <c r="I4" s="15" t="s">
        <v>143</v>
      </c>
      <c r="J4" s="15" t="s">
        <v>143</v>
      </c>
      <c r="K4" s="15" t="s">
        <v>143</v>
      </c>
    </row>
    <row r="5" spans="2:9" ht="12" customHeight="1">
      <c r="B5" s="15" t="s">
        <v>154</v>
      </c>
      <c r="C5" s="15">
        <v>20</v>
      </c>
      <c r="G5" s="15" t="s">
        <v>143</v>
      </c>
      <c r="H5" s="15" t="s">
        <v>143</v>
      </c>
      <c r="I5" s="15" t="s">
        <v>143</v>
      </c>
    </row>
    <row r="7" spans="1:18" ht="12" customHeight="1">
      <c r="A7" s="15" t="s">
        <v>52</v>
      </c>
      <c r="B7" s="15" t="s">
        <v>142</v>
      </c>
      <c r="C7" s="15">
        <v>10</v>
      </c>
      <c r="D7" s="15" t="s">
        <v>143</v>
      </c>
      <c r="E7" s="15" t="s">
        <v>143</v>
      </c>
      <c r="F7" s="15" t="s">
        <v>143</v>
      </c>
      <c r="G7" s="15" t="s">
        <v>143</v>
      </c>
      <c r="H7" s="15" t="s">
        <v>143</v>
      </c>
      <c r="I7" s="15" t="s">
        <v>143</v>
      </c>
      <c r="J7" s="15" t="s">
        <v>143</v>
      </c>
      <c r="K7" s="15" t="s">
        <v>143</v>
      </c>
      <c r="L7" s="15" t="s">
        <v>143</v>
      </c>
      <c r="M7" s="15" t="s">
        <v>143</v>
      </c>
      <c r="N7" s="15" t="s">
        <v>143</v>
      </c>
      <c r="O7" s="15" t="s">
        <v>143</v>
      </c>
      <c r="P7" s="15" t="s">
        <v>143</v>
      </c>
      <c r="Q7" s="15" t="s">
        <v>143</v>
      </c>
      <c r="R7" s="15" t="s">
        <v>143</v>
      </c>
    </row>
    <row r="8" spans="2:16" ht="12" customHeight="1">
      <c r="B8" s="15" t="s">
        <v>156</v>
      </c>
      <c r="C8" s="15">
        <v>60</v>
      </c>
      <c r="D8" s="15" t="s">
        <v>143</v>
      </c>
      <c r="E8" s="15" t="s">
        <v>143</v>
      </c>
      <c r="F8" s="15" t="s">
        <v>143</v>
      </c>
      <c r="G8" s="15" t="s">
        <v>143</v>
      </c>
      <c r="H8" s="15" t="s">
        <v>143</v>
      </c>
      <c r="I8" s="15" t="s">
        <v>143</v>
      </c>
      <c r="J8" s="15" t="s">
        <v>143</v>
      </c>
      <c r="K8" s="15" t="s">
        <v>143</v>
      </c>
      <c r="L8" s="15" t="s">
        <v>143</v>
      </c>
      <c r="M8" s="15" t="s">
        <v>157</v>
      </c>
      <c r="N8" s="15" t="s">
        <v>157</v>
      </c>
      <c r="O8" s="15" t="s">
        <v>157</v>
      </c>
      <c r="P8" s="15" t="s">
        <v>157</v>
      </c>
    </row>
    <row r="9" spans="2:13" ht="12.75">
      <c r="B9" s="15" t="s">
        <v>158</v>
      </c>
      <c r="C9" s="15">
        <v>30</v>
      </c>
      <c r="H9" s="15" t="s">
        <v>143</v>
      </c>
      <c r="I9" s="15" t="s">
        <v>143</v>
      </c>
      <c r="J9" s="15" t="s">
        <v>143</v>
      </c>
      <c r="K9" s="15" t="s">
        <v>143</v>
      </c>
      <c r="L9" s="15" t="s">
        <v>143</v>
      </c>
      <c r="M9" s="15" t="s">
        <v>143</v>
      </c>
    </row>
    <row r="11" spans="1:18" ht="12" customHeight="1">
      <c r="A11" s="15" t="s">
        <v>160</v>
      </c>
      <c r="B11" s="15" t="s">
        <v>142</v>
      </c>
      <c r="C11" s="15">
        <v>45</v>
      </c>
      <c r="D11" s="15" t="s">
        <v>143</v>
      </c>
      <c r="E11" s="15" t="s">
        <v>143</v>
      </c>
      <c r="F11" s="15" t="s">
        <v>143</v>
      </c>
      <c r="G11" s="15" t="s">
        <v>143</v>
      </c>
      <c r="H11" s="15" t="s">
        <v>143</v>
      </c>
      <c r="I11" s="15" t="s">
        <v>143</v>
      </c>
      <c r="J11" s="15" t="s">
        <v>143</v>
      </c>
      <c r="K11" s="15" t="s">
        <v>143</v>
      </c>
      <c r="L11" s="15" t="s">
        <v>143</v>
      </c>
      <c r="M11" s="15" t="s">
        <v>143</v>
      </c>
      <c r="N11" s="15" t="s">
        <v>143</v>
      </c>
      <c r="O11" s="15" t="s">
        <v>143</v>
      </c>
      <c r="P11" s="15" t="s">
        <v>143</v>
      </c>
      <c r="Q11" s="15" t="s">
        <v>143</v>
      </c>
      <c r="R11" s="15" t="s">
        <v>143</v>
      </c>
    </row>
    <row r="12" spans="2:16" ht="16.5" customHeight="1">
      <c r="B12" s="15" t="s">
        <v>166</v>
      </c>
      <c r="C12" s="15">
        <v>45</v>
      </c>
      <c r="F12" s="15" t="s">
        <v>143</v>
      </c>
      <c r="G12" s="15" t="s">
        <v>143</v>
      </c>
      <c r="H12" s="15" t="s">
        <v>143</v>
      </c>
      <c r="I12" s="15" t="s">
        <v>143</v>
      </c>
      <c r="J12" s="15" t="s">
        <v>143</v>
      </c>
      <c r="K12" s="15" t="s">
        <v>143</v>
      </c>
      <c r="L12" s="15" t="s">
        <v>143</v>
      </c>
      <c r="M12" s="15" t="s">
        <v>157</v>
      </c>
      <c r="N12" s="15" t="s">
        <v>157</v>
      </c>
      <c r="O12" s="15" t="s">
        <v>157</v>
      </c>
      <c r="P12" s="15" t="s">
        <v>157</v>
      </c>
    </row>
    <row r="13" spans="2:3" ht="12" customHeight="1">
      <c r="B13" s="15" t="s">
        <v>170</v>
      </c>
      <c r="C13" s="15">
        <v>10</v>
      </c>
    </row>
    <row r="15" spans="1:18" ht="12" customHeight="1">
      <c r="A15" s="15" t="s">
        <v>56</v>
      </c>
      <c r="B15" s="15" t="s">
        <v>142</v>
      </c>
      <c r="C15" s="15">
        <v>20</v>
      </c>
      <c r="D15" s="15" t="s">
        <v>143</v>
      </c>
      <c r="E15" s="15" t="s">
        <v>143</v>
      </c>
      <c r="F15" s="15" t="s">
        <v>143</v>
      </c>
      <c r="G15" s="15" t="s">
        <v>143</v>
      </c>
      <c r="H15" s="15" t="s">
        <v>143</v>
      </c>
      <c r="I15" s="15" t="s">
        <v>143</v>
      </c>
      <c r="J15" s="15" t="s">
        <v>143</v>
      </c>
      <c r="K15" s="15" t="s">
        <v>143</v>
      </c>
      <c r="L15" s="15" t="s">
        <v>143</v>
      </c>
      <c r="M15" s="15" t="s">
        <v>143</v>
      </c>
      <c r="N15" s="15" t="s">
        <v>143</v>
      </c>
      <c r="O15" s="15" t="s">
        <v>143</v>
      </c>
      <c r="P15" s="15" t="s">
        <v>143</v>
      </c>
      <c r="Q15" s="15" t="s">
        <v>143</v>
      </c>
      <c r="R15" s="15" t="s">
        <v>143</v>
      </c>
    </row>
    <row r="16" spans="2:12" ht="12" customHeight="1">
      <c r="B16" s="15" t="s">
        <v>182</v>
      </c>
      <c r="C16" s="15">
        <v>30</v>
      </c>
      <c r="H16" s="15" t="s">
        <v>143</v>
      </c>
      <c r="I16" s="15" t="s">
        <v>143</v>
      </c>
      <c r="J16" s="15" t="s">
        <v>143</v>
      </c>
      <c r="K16" s="15" t="s">
        <v>143</v>
      </c>
      <c r="L16" s="15" t="s">
        <v>143</v>
      </c>
    </row>
    <row r="17" spans="2:18" ht="12" customHeight="1">
      <c r="B17" s="15" t="s">
        <v>183</v>
      </c>
      <c r="C17" s="15">
        <v>30</v>
      </c>
      <c r="D17" s="50" t="s">
        <v>143</v>
      </c>
      <c r="E17" s="15" t="s">
        <v>143</v>
      </c>
      <c r="F17" s="15" t="s">
        <v>143</v>
      </c>
      <c r="G17" s="15" t="s">
        <v>143</v>
      </c>
      <c r="H17" s="15" t="s">
        <v>143</v>
      </c>
      <c r="I17" s="15" t="s">
        <v>143</v>
      </c>
      <c r="J17" s="15" t="s">
        <v>143</v>
      </c>
      <c r="K17" s="15" t="s">
        <v>143</v>
      </c>
      <c r="L17" s="15" t="s">
        <v>143</v>
      </c>
      <c r="M17" s="15" t="s">
        <v>143</v>
      </c>
      <c r="N17" s="15" t="s">
        <v>143</v>
      </c>
      <c r="O17" s="15" t="s">
        <v>143</v>
      </c>
      <c r="P17" s="15" t="s">
        <v>143</v>
      </c>
      <c r="Q17" s="15" t="s">
        <v>143</v>
      </c>
      <c r="R17" s="15" t="s">
        <v>143</v>
      </c>
    </row>
    <row r="18" spans="2:8" ht="12" customHeight="1">
      <c r="B18" s="15" t="s">
        <v>186</v>
      </c>
      <c r="C18" s="15">
        <v>20</v>
      </c>
      <c r="E18" s="15" t="s">
        <v>143</v>
      </c>
      <c r="F18" s="15" t="s">
        <v>143</v>
      </c>
      <c r="G18" s="15" t="s">
        <v>143</v>
      </c>
      <c r="H18" s="15" t="s">
        <v>143</v>
      </c>
    </row>
    <row r="20" spans="1:18" ht="12" customHeight="1">
      <c r="A20" s="15" t="s">
        <v>59</v>
      </c>
      <c r="B20" s="15" t="s">
        <v>142</v>
      </c>
      <c r="C20" s="15">
        <v>20</v>
      </c>
      <c r="D20" s="15" t="s">
        <v>143</v>
      </c>
      <c r="E20" s="15" t="s">
        <v>143</v>
      </c>
      <c r="F20" s="15" t="s">
        <v>143</v>
      </c>
      <c r="G20" s="15" t="s">
        <v>143</v>
      </c>
      <c r="H20" s="15" t="s">
        <v>143</v>
      </c>
      <c r="I20" s="15" t="s">
        <v>143</v>
      </c>
      <c r="J20" s="15" t="s">
        <v>143</v>
      </c>
      <c r="K20" s="15" t="s">
        <v>143</v>
      </c>
      <c r="L20" s="15" t="s">
        <v>143</v>
      </c>
      <c r="M20" s="15" t="s">
        <v>143</v>
      </c>
      <c r="N20" s="15" t="s">
        <v>143</v>
      </c>
      <c r="O20" s="15" t="s">
        <v>143</v>
      </c>
      <c r="P20" s="15" t="s">
        <v>143</v>
      </c>
      <c r="Q20" s="15" t="s">
        <v>143</v>
      </c>
      <c r="R20" s="15" t="s">
        <v>143</v>
      </c>
    </row>
    <row r="21" spans="2:15" ht="12.75">
      <c r="B21" s="15" t="s">
        <v>189</v>
      </c>
      <c r="C21" s="15">
        <v>40</v>
      </c>
      <c r="F21" s="15" t="s">
        <v>143</v>
      </c>
      <c r="G21" s="15" t="s">
        <v>143</v>
      </c>
      <c r="H21" s="15" t="s">
        <v>143</v>
      </c>
      <c r="I21" s="15" t="s">
        <v>143</v>
      </c>
      <c r="J21" s="15" t="s">
        <v>143</v>
      </c>
      <c r="K21" s="15" t="s">
        <v>143</v>
      </c>
      <c r="L21" s="15" t="s">
        <v>143</v>
      </c>
      <c r="M21" s="15" t="s">
        <v>143</v>
      </c>
      <c r="N21" s="15" t="s">
        <v>143</v>
      </c>
      <c r="O21" s="15" t="s">
        <v>143</v>
      </c>
    </row>
    <row r="22" spans="2:18" ht="12.75">
      <c r="B22" s="15" t="s">
        <v>190</v>
      </c>
      <c r="C22" s="15">
        <v>30</v>
      </c>
      <c r="D22" s="50" t="s">
        <v>143</v>
      </c>
      <c r="E22" s="15" t="s">
        <v>143</v>
      </c>
      <c r="F22" s="15" t="s">
        <v>143</v>
      </c>
      <c r="G22" s="15" t="s">
        <v>143</v>
      </c>
      <c r="H22" s="15" t="s">
        <v>143</v>
      </c>
      <c r="I22" s="15" t="s">
        <v>143</v>
      </c>
      <c r="J22" s="15" t="s">
        <v>143</v>
      </c>
      <c r="K22" s="15" t="s">
        <v>143</v>
      </c>
      <c r="L22" s="15" t="s">
        <v>143</v>
      </c>
      <c r="M22" s="15" t="s">
        <v>143</v>
      </c>
      <c r="N22" s="15" t="s">
        <v>143</v>
      </c>
      <c r="O22" s="15" t="s">
        <v>143</v>
      </c>
      <c r="P22" s="15" t="s">
        <v>143</v>
      </c>
      <c r="Q22" s="15" t="s">
        <v>143</v>
      </c>
      <c r="R22" s="15" t="s">
        <v>143</v>
      </c>
    </row>
    <row r="24" spans="1:18" ht="12" customHeight="1">
      <c r="A24" s="15" t="s">
        <v>48</v>
      </c>
      <c r="B24" s="15" t="s">
        <v>142</v>
      </c>
      <c r="C24" s="15">
        <v>10</v>
      </c>
      <c r="D24" s="50" t="s">
        <v>143</v>
      </c>
      <c r="E24" s="50" t="s">
        <v>143</v>
      </c>
      <c r="F24" s="50" t="s">
        <v>143</v>
      </c>
      <c r="G24" s="50" t="s">
        <v>143</v>
      </c>
      <c r="H24" s="50" t="s">
        <v>143</v>
      </c>
      <c r="I24" s="50" t="s">
        <v>143</v>
      </c>
      <c r="J24" s="50" t="s">
        <v>143</v>
      </c>
      <c r="K24" s="50" t="s">
        <v>143</v>
      </c>
      <c r="L24" s="50" t="s">
        <v>143</v>
      </c>
      <c r="M24" s="50" t="s">
        <v>143</v>
      </c>
      <c r="N24" s="50" t="s">
        <v>143</v>
      </c>
      <c r="O24" s="50" t="s">
        <v>143</v>
      </c>
      <c r="P24" s="50" t="s">
        <v>143</v>
      </c>
      <c r="Q24" s="50" t="s">
        <v>143</v>
      </c>
      <c r="R24" s="50" t="s">
        <v>143</v>
      </c>
    </row>
    <row r="25" spans="2:8" ht="12" customHeight="1">
      <c r="B25" s="15" t="s">
        <v>195</v>
      </c>
      <c r="C25" s="15">
        <v>20</v>
      </c>
      <c r="D25" s="50" t="s">
        <v>143</v>
      </c>
      <c r="E25" s="50" t="s">
        <v>143</v>
      </c>
      <c r="F25" s="50" t="s">
        <v>143</v>
      </c>
      <c r="G25" s="50" t="s">
        <v>143</v>
      </c>
      <c r="H25" s="50" t="s">
        <v>143</v>
      </c>
    </row>
    <row r="26" spans="2:16" ht="12" customHeight="1">
      <c r="B26" s="15" t="s">
        <v>197</v>
      </c>
      <c r="C26" s="15">
        <v>25</v>
      </c>
      <c r="D26" s="50" t="s">
        <v>143</v>
      </c>
      <c r="E26" s="50" t="s">
        <v>143</v>
      </c>
      <c r="F26" s="50" t="s">
        <v>143</v>
      </c>
      <c r="G26" s="50" t="s">
        <v>143</v>
      </c>
      <c r="H26" s="50" t="s">
        <v>143</v>
      </c>
      <c r="I26" s="50" t="s">
        <v>143</v>
      </c>
      <c r="J26" s="50" t="s">
        <v>143</v>
      </c>
      <c r="K26" s="50" t="s">
        <v>143</v>
      </c>
      <c r="L26" s="50" t="s">
        <v>143</v>
      </c>
      <c r="M26" s="50" t="s">
        <v>143</v>
      </c>
      <c r="N26" s="50" t="s">
        <v>143</v>
      </c>
      <c r="O26" s="50" t="s">
        <v>143</v>
      </c>
      <c r="P26" s="50" t="s">
        <v>143</v>
      </c>
    </row>
    <row r="27" spans="2:16" ht="12" customHeight="1">
      <c r="B27" s="15" t="s">
        <v>198</v>
      </c>
      <c r="C27" s="15">
        <v>20</v>
      </c>
      <c r="D27" s="50" t="s">
        <v>143</v>
      </c>
      <c r="E27" s="50" t="s">
        <v>143</v>
      </c>
      <c r="F27" s="50" t="s">
        <v>143</v>
      </c>
      <c r="G27" s="50" t="s">
        <v>143</v>
      </c>
      <c r="H27" s="50" t="s">
        <v>143</v>
      </c>
      <c r="I27" s="50" t="s">
        <v>143</v>
      </c>
      <c r="J27" s="50" t="s">
        <v>143</v>
      </c>
      <c r="K27" s="50" t="s">
        <v>143</v>
      </c>
      <c r="L27" s="50" t="s">
        <v>143</v>
      </c>
      <c r="M27" s="50" t="s">
        <v>143</v>
      </c>
      <c r="N27" s="50" t="s">
        <v>143</v>
      </c>
      <c r="O27" s="50" t="s">
        <v>143</v>
      </c>
      <c r="P27" s="50" t="s">
        <v>143</v>
      </c>
    </row>
    <row r="28" spans="2:10" ht="12" customHeight="1">
      <c r="B28" s="15" t="s">
        <v>199</v>
      </c>
      <c r="C28" s="15">
        <v>15</v>
      </c>
      <c r="D28" s="50" t="s">
        <v>143</v>
      </c>
      <c r="E28" s="50" t="s">
        <v>143</v>
      </c>
      <c r="F28" s="50" t="s">
        <v>143</v>
      </c>
      <c r="G28" s="50" t="s">
        <v>143</v>
      </c>
      <c r="H28" s="50" t="s">
        <v>143</v>
      </c>
      <c r="I28" s="50" t="s">
        <v>143</v>
      </c>
      <c r="J28" s="50" t="s">
        <v>143</v>
      </c>
    </row>
    <row r="29" spans="2:8" ht="12" customHeight="1">
      <c r="B29" s="15" t="s">
        <v>200</v>
      </c>
      <c r="C29" s="15">
        <v>10</v>
      </c>
      <c r="D29" s="50" t="s">
        <v>143</v>
      </c>
      <c r="E29" s="50" t="s">
        <v>143</v>
      </c>
      <c r="F29" s="50" t="s">
        <v>143</v>
      </c>
      <c r="G29" s="50" t="s">
        <v>143</v>
      </c>
      <c r="H29" s="50" t="s">
        <v>143</v>
      </c>
    </row>
    <row r="31" spans="1:18" ht="12" customHeight="1">
      <c r="A31" s="15" t="s">
        <v>201</v>
      </c>
      <c r="B31" s="15" t="s">
        <v>142</v>
      </c>
      <c r="C31" s="15">
        <v>20</v>
      </c>
      <c r="D31" s="50" t="s">
        <v>143</v>
      </c>
      <c r="E31" s="50" t="s">
        <v>143</v>
      </c>
      <c r="F31" s="50" t="s">
        <v>143</v>
      </c>
      <c r="G31" s="50" t="s">
        <v>143</v>
      </c>
      <c r="H31" s="50" t="s">
        <v>143</v>
      </c>
      <c r="I31" s="50" t="s">
        <v>143</v>
      </c>
      <c r="J31" s="50" t="s">
        <v>143</v>
      </c>
      <c r="K31" s="50" t="s">
        <v>143</v>
      </c>
      <c r="L31" s="50" t="s">
        <v>143</v>
      </c>
      <c r="M31" s="50" t="s">
        <v>143</v>
      </c>
      <c r="N31" s="50" t="s">
        <v>143</v>
      </c>
      <c r="O31" s="50" t="s">
        <v>143</v>
      </c>
      <c r="P31" s="50" t="s">
        <v>143</v>
      </c>
      <c r="Q31" s="50" t="s">
        <v>143</v>
      </c>
      <c r="R31" s="50" t="s">
        <v>143</v>
      </c>
    </row>
    <row r="32" spans="2:11" ht="12" customHeight="1">
      <c r="B32" s="15" t="s">
        <v>208</v>
      </c>
      <c r="C32" s="15">
        <v>20</v>
      </c>
      <c r="D32" s="50" t="s">
        <v>143</v>
      </c>
      <c r="E32" s="50" t="s">
        <v>143</v>
      </c>
      <c r="F32" s="50" t="s">
        <v>143</v>
      </c>
      <c r="G32" s="50" t="s">
        <v>143</v>
      </c>
      <c r="H32" s="50" t="s">
        <v>143</v>
      </c>
      <c r="I32" s="50" t="s">
        <v>143</v>
      </c>
      <c r="J32" s="50" t="s">
        <v>143</v>
      </c>
      <c r="K32" s="50" t="s">
        <v>143</v>
      </c>
    </row>
    <row r="33" spans="2:18" ht="12" customHeight="1">
      <c r="B33" s="15" t="s">
        <v>57</v>
      </c>
      <c r="C33" s="15">
        <v>20</v>
      </c>
      <c r="D33" s="50" t="s">
        <v>143</v>
      </c>
      <c r="E33" s="50" t="s">
        <v>143</v>
      </c>
      <c r="F33" s="50" t="s">
        <v>143</v>
      </c>
      <c r="G33" s="50" t="s">
        <v>143</v>
      </c>
      <c r="H33" s="50" t="s">
        <v>143</v>
      </c>
      <c r="I33" s="50" t="s">
        <v>143</v>
      </c>
      <c r="J33" s="50" t="s">
        <v>143</v>
      </c>
      <c r="K33" s="50" t="s">
        <v>143</v>
      </c>
      <c r="L33" s="15" t="s">
        <v>143</v>
      </c>
      <c r="M33" s="15" t="s">
        <v>157</v>
      </c>
      <c r="N33" s="15" t="s">
        <v>157</v>
      </c>
      <c r="O33" s="15" t="s">
        <v>157</v>
      </c>
      <c r="P33" s="15" t="s">
        <v>157</v>
      </c>
      <c r="Q33" s="15" t="s">
        <v>157</v>
      </c>
      <c r="R33" s="15" t="s">
        <v>157</v>
      </c>
    </row>
    <row r="34" spans="2:18" ht="12" customHeight="1">
      <c r="B34" s="15" t="s">
        <v>218</v>
      </c>
      <c r="C34" s="15">
        <v>20</v>
      </c>
      <c r="D34" s="50" t="s">
        <v>143</v>
      </c>
      <c r="E34" s="50" t="s">
        <v>143</v>
      </c>
      <c r="F34" s="50" t="s">
        <v>143</v>
      </c>
      <c r="G34" s="50" t="s">
        <v>143</v>
      </c>
      <c r="H34" s="50" t="s">
        <v>143</v>
      </c>
      <c r="I34" s="50" t="s">
        <v>143</v>
      </c>
      <c r="J34" s="50" t="s">
        <v>143</v>
      </c>
      <c r="K34" s="50" t="s">
        <v>143</v>
      </c>
      <c r="L34" s="50" t="s">
        <v>143</v>
      </c>
      <c r="M34" s="50" t="s">
        <v>143</v>
      </c>
      <c r="N34" s="50" t="s">
        <v>143</v>
      </c>
      <c r="O34" s="50" t="s">
        <v>143</v>
      </c>
      <c r="P34" s="50" t="s">
        <v>143</v>
      </c>
      <c r="Q34" s="50" t="s">
        <v>143</v>
      </c>
      <c r="R34" s="50" t="s">
        <v>143</v>
      </c>
    </row>
    <row r="35" spans="2:16" ht="12.75">
      <c r="B35" s="15" t="s">
        <v>221</v>
      </c>
      <c r="C35" s="15">
        <v>20</v>
      </c>
      <c r="D35" s="50" t="s">
        <v>143</v>
      </c>
      <c r="E35" s="50" t="s">
        <v>143</v>
      </c>
      <c r="F35" s="50" t="s">
        <v>143</v>
      </c>
      <c r="G35" s="50" t="s">
        <v>143</v>
      </c>
      <c r="H35" s="50" t="s">
        <v>143</v>
      </c>
      <c r="I35" s="50" t="s">
        <v>143</v>
      </c>
      <c r="J35" s="50" t="s">
        <v>143</v>
      </c>
      <c r="K35" s="50" t="s">
        <v>143</v>
      </c>
      <c r="L35" s="50" t="s">
        <v>143</v>
      </c>
      <c r="M35" s="50" t="s">
        <v>143</v>
      </c>
      <c r="N35" s="50" t="s">
        <v>143</v>
      </c>
      <c r="O35" s="50" t="s">
        <v>143</v>
      </c>
      <c r="P35" s="50" t="s">
        <v>143</v>
      </c>
    </row>
    <row r="37" spans="1:18" ht="12" customHeight="1">
      <c r="A37" s="15" t="s">
        <v>223</v>
      </c>
      <c r="B37" s="15" t="s">
        <v>142</v>
      </c>
      <c r="C37" s="15">
        <v>10</v>
      </c>
      <c r="D37" s="50" t="s">
        <v>143</v>
      </c>
      <c r="E37" s="50" t="s">
        <v>143</v>
      </c>
      <c r="F37" s="50" t="s">
        <v>143</v>
      </c>
      <c r="G37" s="50" t="s">
        <v>143</v>
      </c>
      <c r="H37" s="50" t="s">
        <v>143</v>
      </c>
      <c r="I37" s="50" t="s">
        <v>143</v>
      </c>
      <c r="J37" s="50" t="s">
        <v>143</v>
      </c>
      <c r="K37" s="50" t="s">
        <v>143</v>
      </c>
      <c r="L37" s="50" t="s">
        <v>143</v>
      </c>
      <c r="M37" s="50" t="s">
        <v>143</v>
      </c>
      <c r="N37" s="50" t="s">
        <v>143</v>
      </c>
      <c r="O37" s="50" t="s">
        <v>143</v>
      </c>
      <c r="P37" s="50" t="s">
        <v>143</v>
      </c>
      <c r="Q37" s="50" t="s">
        <v>143</v>
      </c>
      <c r="R37" s="50" t="s">
        <v>143</v>
      </c>
    </row>
    <row r="38" spans="2:16" ht="12" customHeight="1">
      <c r="B38" s="15" t="s">
        <v>57</v>
      </c>
      <c r="C38" s="15">
        <v>60</v>
      </c>
      <c r="D38" s="50" t="s">
        <v>143</v>
      </c>
      <c r="E38" s="50" t="s">
        <v>143</v>
      </c>
      <c r="F38" s="50" t="s">
        <v>143</v>
      </c>
      <c r="G38" s="50" t="s">
        <v>143</v>
      </c>
      <c r="H38" s="50" t="s">
        <v>143</v>
      </c>
      <c r="I38" s="50" t="s">
        <v>143</v>
      </c>
      <c r="J38" s="50" t="s">
        <v>143</v>
      </c>
      <c r="K38" s="50" t="s">
        <v>143</v>
      </c>
      <c r="L38" s="50" t="s">
        <v>143</v>
      </c>
      <c r="M38" s="15" t="s">
        <v>157</v>
      </c>
      <c r="N38" s="15" t="s">
        <v>157</v>
      </c>
      <c r="O38" s="15" t="s">
        <v>157</v>
      </c>
      <c r="P38" s="15" t="s">
        <v>157</v>
      </c>
    </row>
    <row r="39" spans="2:8" ht="12" customHeight="1">
      <c r="B39" s="15" t="s">
        <v>224</v>
      </c>
      <c r="C39" s="15">
        <v>5</v>
      </c>
      <c r="D39" s="15" t="s">
        <v>143</v>
      </c>
      <c r="E39" s="15" t="s">
        <v>143</v>
      </c>
      <c r="F39" s="15" t="s">
        <v>143</v>
      </c>
      <c r="G39" s="15" t="s">
        <v>143</v>
      </c>
      <c r="H39" s="15" t="s">
        <v>143</v>
      </c>
    </row>
    <row r="40" spans="2:18" ht="12" customHeight="1">
      <c r="B40" s="15" t="s">
        <v>226</v>
      </c>
      <c r="C40" s="15">
        <v>25</v>
      </c>
      <c r="D40" s="15" t="s">
        <v>143</v>
      </c>
      <c r="E40" s="15" t="s">
        <v>143</v>
      </c>
      <c r="F40" s="15" t="s">
        <v>143</v>
      </c>
      <c r="G40" s="15" t="s">
        <v>143</v>
      </c>
      <c r="H40" s="15" t="s">
        <v>143</v>
      </c>
      <c r="I40" s="15" t="s">
        <v>143</v>
      </c>
      <c r="J40" s="15" t="s">
        <v>143</v>
      </c>
      <c r="K40" s="15" t="s">
        <v>143</v>
      </c>
      <c r="L40" s="15" t="s">
        <v>143</v>
      </c>
      <c r="M40" s="15" t="s">
        <v>143</v>
      </c>
      <c r="N40" s="15" t="s">
        <v>143</v>
      </c>
      <c r="O40" s="15" t="s">
        <v>143</v>
      </c>
      <c r="P40" s="15" t="s">
        <v>143</v>
      </c>
      <c r="Q40" s="15" t="s">
        <v>143</v>
      </c>
      <c r="R40" s="15" t="s">
        <v>143</v>
      </c>
    </row>
  </sheetData>
  <mergeCells count="1">
    <mergeCell ref="D1:P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AA144"/>
  <sheetViews>
    <sheetView workbookViewId="0" topLeftCell="A1">
      <pane ySplit="1" topLeftCell="A2" activePane="bottomLeft" state="frozen"/>
      <selection pane="bottomLeft" activeCell="B3" sqref="B3"/>
    </sheetView>
  </sheetViews>
  <sheetFormatPr defaultColWidth="14.421875" defaultRowHeight="12.75" customHeight="1"/>
  <cols>
    <col min="1" max="1" width="6.28125" style="0" customWidth="1"/>
    <col min="2" max="2" width="14.28125" style="0" customWidth="1"/>
    <col min="3" max="3" width="29.00390625" style="0" customWidth="1"/>
    <col min="4" max="4" width="17.28125" style="0" customWidth="1"/>
    <col min="5" max="5" width="10.140625" style="0" hidden="1" customWidth="1"/>
    <col min="6" max="6" width="14.421875" style="0" hidden="1" customWidth="1"/>
    <col min="7" max="13" width="8.00390625" style="0" hidden="1" customWidth="1"/>
    <col min="14" max="14" width="7.28125" style="0" hidden="1" customWidth="1"/>
    <col min="15" max="15" width="7.7109375" style="0" hidden="1" customWidth="1"/>
    <col min="16" max="16" width="7.421875" style="0" hidden="1" customWidth="1"/>
    <col min="17" max="17" width="9.140625" style="0" hidden="1" customWidth="1"/>
    <col min="18" max="18" width="8.7109375" style="0" hidden="1" customWidth="1"/>
    <col min="19" max="19" width="7.57421875" style="0" hidden="1" customWidth="1"/>
    <col min="20" max="20" width="5.57421875" style="0" hidden="1" customWidth="1"/>
    <col min="21" max="21" width="5.28125" style="0" hidden="1" customWidth="1"/>
    <col min="22" max="22" width="4.140625" style="0" hidden="1" customWidth="1"/>
    <col min="23" max="23" width="5.57421875" style="0" hidden="1" customWidth="1"/>
    <col min="24" max="25" width="5.57421875" style="0" customWidth="1"/>
    <col min="26" max="27" width="4.140625" style="0" customWidth="1"/>
  </cols>
  <sheetData>
    <row r="1" spans="1:27" ht="12" customHeight="1">
      <c r="A1" s="13" t="s">
        <v>5</v>
      </c>
      <c r="B1" s="52" t="s">
        <v>4</v>
      </c>
      <c r="C1" s="52" t="s">
        <v>18</v>
      </c>
      <c r="D1" s="52" t="s">
        <v>161</v>
      </c>
      <c r="E1" s="134">
        <v>40915</v>
      </c>
      <c r="F1" s="136" t="str">
        <f aca="true" t="shared" si="0" ref="F1:AA1">E1+7</f>
        <v>1/14</v>
      </c>
      <c r="G1" s="136" t="str">
        <f t="shared" si="0"/>
        <v>1/21</v>
      </c>
      <c r="H1" s="136" t="str">
        <f t="shared" si="0"/>
        <v>1/28</v>
      </c>
      <c r="I1" s="136" t="str">
        <f t="shared" si="0"/>
        <v>2/4</v>
      </c>
      <c r="J1" s="136" t="str">
        <f t="shared" si="0"/>
        <v>2/11</v>
      </c>
      <c r="K1" s="136" t="str">
        <f t="shared" si="0"/>
        <v>2/18</v>
      </c>
      <c r="L1" s="136" t="str">
        <f t="shared" si="0"/>
        <v>2/25</v>
      </c>
      <c r="M1" s="136" t="str">
        <f t="shared" si="0"/>
        <v>3/3</v>
      </c>
      <c r="N1" s="136" t="str">
        <f t="shared" si="0"/>
        <v>3/10</v>
      </c>
      <c r="O1" s="136" t="str">
        <f t="shared" si="0"/>
        <v>3/17</v>
      </c>
      <c r="P1" s="136" t="str">
        <f t="shared" si="0"/>
        <v>3/24</v>
      </c>
      <c r="Q1" s="136" t="str">
        <f t="shared" si="0"/>
        <v>3/31</v>
      </c>
      <c r="R1" s="136" t="str">
        <f t="shared" si="0"/>
        <v>4/7</v>
      </c>
      <c r="S1" s="136" t="str">
        <f t="shared" si="0"/>
        <v>4/14</v>
      </c>
      <c r="T1" s="136" t="str">
        <f t="shared" si="0"/>
        <v>4/21</v>
      </c>
      <c r="U1" s="136" t="str">
        <f t="shared" si="0"/>
        <v>4/28</v>
      </c>
      <c r="V1" s="136" t="str">
        <f t="shared" si="0"/>
        <v>5/5</v>
      </c>
      <c r="W1" s="136" t="str">
        <f t="shared" si="0"/>
        <v>5/12</v>
      </c>
      <c r="X1" s="136" t="str">
        <f t="shared" si="0"/>
        <v>5/19</v>
      </c>
      <c r="Y1" s="136" t="str">
        <f t="shared" si="0"/>
        <v>5/26</v>
      </c>
      <c r="Z1" s="136" t="str">
        <f t="shared" si="0"/>
        <v>6/2</v>
      </c>
      <c r="AA1" s="136" t="str">
        <f t="shared" si="0"/>
        <v>6/9</v>
      </c>
    </row>
    <row r="2" spans="1:27" ht="12" customHeight="1">
      <c r="A2" s="13" t="s">
        <v>494</v>
      </c>
      <c r="B2" s="15" t="s">
        <v>47</v>
      </c>
      <c r="C2" s="13" t="s">
        <v>496</v>
      </c>
      <c r="D2" s="13" t="s">
        <v>147</v>
      </c>
      <c r="E2" s="50">
        <v>16</v>
      </c>
      <c r="F2" s="50">
        <v>16</v>
      </c>
      <c r="G2" s="50">
        <v>16</v>
      </c>
      <c r="H2" s="50">
        <v>16</v>
      </c>
      <c r="I2" s="50">
        <v>16</v>
      </c>
      <c r="J2" s="50">
        <v>28</v>
      </c>
      <c r="K2" s="50">
        <v>32</v>
      </c>
      <c r="L2" s="50">
        <v>32</v>
      </c>
      <c r="M2" s="50">
        <v>32</v>
      </c>
      <c r="N2" s="50">
        <v>32</v>
      </c>
      <c r="O2" s="50">
        <v>32</v>
      </c>
      <c r="P2" s="50">
        <v>32</v>
      </c>
      <c r="Q2" s="50">
        <v>32</v>
      </c>
      <c r="R2" s="50">
        <v>32</v>
      </c>
      <c r="S2" s="50">
        <v>32</v>
      </c>
      <c r="T2" s="50">
        <v>32</v>
      </c>
      <c r="U2" s="50">
        <v>32</v>
      </c>
      <c r="V2" s="50">
        <v>32</v>
      </c>
      <c r="W2" s="50">
        <v>32</v>
      </c>
      <c r="X2" s="50">
        <v>32</v>
      </c>
      <c r="Y2" s="50">
        <v>32</v>
      </c>
      <c r="Z2" s="50">
        <v>32</v>
      </c>
      <c r="AA2" s="50">
        <v>32</v>
      </c>
    </row>
    <row r="3" spans="1:27" ht="12" customHeight="1">
      <c r="A3" s="13" t="s">
        <v>494</v>
      </c>
      <c r="B3" s="15" t="s">
        <v>47</v>
      </c>
      <c r="C3" s="15" t="s">
        <v>142</v>
      </c>
      <c r="D3" s="13" t="s">
        <v>165</v>
      </c>
      <c r="E3" s="50">
        <v>10</v>
      </c>
      <c r="F3" s="50">
        <v>10</v>
      </c>
      <c r="G3" s="50">
        <v>12</v>
      </c>
      <c r="H3" s="50">
        <v>12</v>
      </c>
      <c r="I3" s="50">
        <v>12</v>
      </c>
      <c r="J3" s="50">
        <v>4</v>
      </c>
      <c r="K3" s="50">
        <v>0</v>
      </c>
      <c r="L3" s="50">
        <v>0</v>
      </c>
      <c r="M3" s="50">
        <v>0</v>
      </c>
      <c r="N3" s="50">
        <v>0</v>
      </c>
      <c r="O3" s="50">
        <v>0</v>
      </c>
      <c r="P3" s="50">
        <v>0</v>
      </c>
      <c r="Q3" s="50">
        <v>0</v>
      </c>
      <c r="R3" s="50">
        <v>0</v>
      </c>
      <c r="S3" s="50">
        <v>0</v>
      </c>
      <c r="T3" s="50">
        <v>0</v>
      </c>
      <c r="U3" s="50">
        <v>0</v>
      </c>
      <c r="V3" s="50">
        <v>0</v>
      </c>
      <c r="W3" s="50">
        <v>0</v>
      </c>
      <c r="X3" s="50">
        <v>0</v>
      </c>
      <c r="Y3" s="50">
        <v>0</v>
      </c>
      <c r="Z3" s="50">
        <v>0</v>
      </c>
      <c r="AA3" s="50">
        <v>0</v>
      </c>
    </row>
    <row r="4" spans="1:27" ht="12" customHeight="1">
      <c r="A4" s="13" t="s">
        <v>494</v>
      </c>
      <c r="B4" s="15" t="s">
        <v>47</v>
      </c>
      <c r="C4" s="15" t="s">
        <v>151</v>
      </c>
      <c r="D4" s="39"/>
      <c r="E4" s="50">
        <v>8</v>
      </c>
      <c r="F4" s="50">
        <v>15</v>
      </c>
      <c r="G4" s="50">
        <v>14</v>
      </c>
      <c r="H4" s="50">
        <v>14</v>
      </c>
      <c r="I4" s="50">
        <v>14</v>
      </c>
      <c r="J4" s="50">
        <v>14</v>
      </c>
      <c r="K4" s="50">
        <v>14</v>
      </c>
      <c r="L4" s="50">
        <v>0</v>
      </c>
      <c r="M4" s="50">
        <v>14</v>
      </c>
      <c r="N4" s="50">
        <v>14</v>
      </c>
      <c r="O4" s="50">
        <v>14</v>
      </c>
      <c r="P4" s="50">
        <v>14</v>
      </c>
      <c r="Q4" s="50">
        <v>0</v>
      </c>
      <c r="R4" s="50">
        <v>14</v>
      </c>
      <c r="S4" s="50">
        <v>10</v>
      </c>
      <c r="T4" s="50">
        <v>32</v>
      </c>
      <c r="U4" s="50">
        <v>32</v>
      </c>
      <c r="V4" s="50">
        <v>32</v>
      </c>
      <c r="W4" s="50">
        <v>12</v>
      </c>
      <c r="X4" s="50">
        <v>0</v>
      </c>
      <c r="Y4" s="50">
        <v>7</v>
      </c>
      <c r="Z4" s="50">
        <v>0</v>
      </c>
      <c r="AA4" s="50">
        <v>0</v>
      </c>
    </row>
    <row r="5" spans="1:27" ht="12" customHeight="1" hidden="1">
      <c r="A5" s="13" t="s">
        <v>494</v>
      </c>
      <c r="B5" s="15" t="s">
        <v>47</v>
      </c>
      <c r="C5" s="15" t="s">
        <v>42</v>
      </c>
      <c r="D5" s="13" t="s">
        <v>499</v>
      </c>
      <c r="E5" s="141"/>
      <c r="F5" s="141"/>
      <c r="G5" s="50">
        <v>0</v>
      </c>
      <c r="H5" s="50">
        <v>0</v>
      </c>
      <c r="I5" s="50">
        <v>0</v>
      </c>
      <c r="J5" s="50">
        <v>0</v>
      </c>
      <c r="K5" s="50">
        <v>0</v>
      </c>
      <c r="L5" s="50">
        <v>0</v>
      </c>
      <c r="M5" s="50">
        <v>0</v>
      </c>
      <c r="N5" s="50">
        <v>0</v>
      </c>
      <c r="O5" s="50">
        <v>0</v>
      </c>
      <c r="P5" s="50">
        <v>0</v>
      </c>
      <c r="Q5" s="50">
        <v>0</v>
      </c>
      <c r="R5" s="50">
        <v>0</v>
      </c>
      <c r="S5" s="50">
        <v>0</v>
      </c>
      <c r="T5" s="50">
        <v>0</v>
      </c>
      <c r="U5" s="50">
        <v>0</v>
      </c>
      <c r="V5" s="50">
        <v>0</v>
      </c>
      <c r="W5" s="50">
        <v>0</v>
      </c>
      <c r="X5" s="50">
        <v>0</v>
      </c>
      <c r="Y5" s="50">
        <v>0</v>
      </c>
      <c r="Z5" s="50">
        <v>0</v>
      </c>
      <c r="AA5" s="50">
        <v>0</v>
      </c>
    </row>
    <row r="6" spans="1:27" ht="12" customHeight="1">
      <c r="A6" s="57" t="s">
        <v>494</v>
      </c>
      <c r="B6" s="143" t="s">
        <v>47</v>
      </c>
      <c r="C6" s="47" t="str">
        <f>"TOTAL Avail: "&amp;B6</f>
        <v>TOTAL Avail: CMcGinnie</v>
      </c>
      <c r="D6" s="49"/>
      <c r="E6" s="51" t="str">
        <f aca="true" t="shared" si="1" ref="E6:F6">SUM(E2:E3)</f>
        <v>26</v>
      </c>
      <c r="F6" s="51" t="str">
        <f t="shared" si="1"/>
        <v>26</v>
      </c>
      <c r="G6" s="51" t="str">
        <f aca="true" t="shared" si="2" ref="G6:S6">SUM(G2:G5)</f>
        <v>42</v>
      </c>
      <c r="H6" s="51" t="str">
        <f t="shared" si="2"/>
        <v>42</v>
      </c>
      <c r="I6" s="51" t="str">
        <f t="shared" si="2"/>
        <v>42</v>
      </c>
      <c r="J6" s="51" t="str">
        <f t="shared" si="2"/>
        <v>46</v>
      </c>
      <c r="K6" s="51" t="str">
        <f t="shared" si="2"/>
        <v>46</v>
      </c>
      <c r="L6" s="51" t="str">
        <f t="shared" si="2"/>
        <v>32</v>
      </c>
      <c r="M6" s="51" t="str">
        <f t="shared" si="2"/>
        <v>46</v>
      </c>
      <c r="N6" s="51" t="str">
        <f t="shared" si="2"/>
        <v>46</v>
      </c>
      <c r="O6" s="51" t="str">
        <f t="shared" si="2"/>
        <v>46</v>
      </c>
      <c r="P6" s="51" t="str">
        <f t="shared" si="2"/>
        <v>46</v>
      </c>
      <c r="Q6" s="51" t="str">
        <f t="shared" si="2"/>
        <v>32</v>
      </c>
      <c r="R6" s="51" t="str">
        <f t="shared" si="2"/>
        <v>46</v>
      </c>
      <c r="S6" s="51" t="str">
        <f t="shared" si="2"/>
        <v>42</v>
      </c>
      <c r="T6" s="51" t="str">
        <f aca="true" t="shared" si="3" ref="T6:AA6">32-SUM(T2:T5)</f>
        <v>-32</v>
      </c>
      <c r="U6" s="51" t="str">
        <f t="shared" si="3"/>
        <v>-32</v>
      </c>
      <c r="V6" s="51" t="str">
        <f t="shared" si="3"/>
        <v>-32</v>
      </c>
      <c r="W6" s="51" t="str">
        <f t="shared" si="3"/>
        <v>-12</v>
      </c>
      <c r="X6" s="51" t="str">
        <f t="shared" si="3"/>
        <v>0</v>
      </c>
      <c r="Y6" s="51" t="str">
        <f t="shared" si="3"/>
        <v>-7</v>
      </c>
      <c r="Z6" s="51" t="str">
        <f t="shared" si="3"/>
        <v>0</v>
      </c>
      <c r="AA6" s="51" t="str">
        <f t="shared" si="3"/>
        <v>0</v>
      </c>
    </row>
    <row r="7" spans="1:27" ht="12" customHeight="1">
      <c r="A7" s="13" t="s">
        <v>494</v>
      </c>
      <c r="B7" s="15" t="s">
        <v>52</v>
      </c>
      <c r="C7" s="15" t="s">
        <v>142</v>
      </c>
      <c r="D7" s="15" t="s">
        <v>165</v>
      </c>
      <c r="E7" s="15">
        <v>8</v>
      </c>
      <c r="F7" s="15">
        <v>8</v>
      </c>
      <c r="G7" s="15">
        <v>8</v>
      </c>
      <c r="H7" s="15">
        <v>8</v>
      </c>
      <c r="I7" s="15">
        <v>8</v>
      </c>
      <c r="J7" s="15">
        <v>0</v>
      </c>
      <c r="K7" s="15">
        <v>8</v>
      </c>
      <c r="L7" s="15">
        <v>8</v>
      </c>
      <c r="M7" s="15">
        <v>8</v>
      </c>
      <c r="N7" s="15">
        <v>8</v>
      </c>
      <c r="O7" s="15">
        <v>8</v>
      </c>
      <c r="P7" s="15">
        <v>12</v>
      </c>
      <c r="Q7" s="15">
        <v>12</v>
      </c>
      <c r="R7" s="15">
        <v>12</v>
      </c>
      <c r="S7" s="15">
        <v>12</v>
      </c>
      <c r="T7" s="15">
        <v>15</v>
      </c>
      <c r="U7" s="15">
        <v>30</v>
      </c>
      <c r="V7" s="15">
        <v>30</v>
      </c>
      <c r="W7" s="15">
        <v>30</v>
      </c>
      <c r="X7" s="15">
        <v>30</v>
      </c>
      <c r="Y7" s="15">
        <v>30</v>
      </c>
      <c r="Z7" s="15">
        <v>30</v>
      </c>
      <c r="AA7" s="15">
        <v>30</v>
      </c>
    </row>
    <row r="8" spans="1:27" ht="12" customHeight="1">
      <c r="A8" s="13" t="s">
        <v>494</v>
      </c>
      <c r="B8" s="15" t="s">
        <v>52</v>
      </c>
      <c r="C8" s="15" t="s">
        <v>537</v>
      </c>
      <c r="D8" s="15" t="s">
        <v>165</v>
      </c>
      <c r="E8" s="15">
        <v>6</v>
      </c>
      <c r="F8" s="15">
        <v>6</v>
      </c>
      <c r="G8" s="15">
        <v>6</v>
      </c>
      <c r="H8" s="15">
        <v>6</v>
      </c>
      <c r="I8" s="15">
        <v>6</v>
      </c>
      <c r="J8" s="15">
        <v>17</v>
      </c>
      <c r="K8" s="15">
        <v>8</v>
      </c>
      <c r="L8" s="15">
        <v>6</v>
      </c>
      <c r="M8" s="15">
        <v>12</v>
      </c>
      <c r="N8" s="15">
        <v>6</v>
      </c>
      <c r="O8" s="15">
        <v>6</v>
      </c>
      <c r="P8" s="15">
        <v>2</v>
      </c>
      <c r="Q8" s="15">
        <v>2</v>
      </c>
      <c r="R8" s="15">
        <v>2</v>
      </c>
      <c r="S8" s="15">
        <v>2</v>
      </c>
      <c r="T8" s="15">
        <v>0</v>
      </c>
      <c r="U8" s="15">
        <v>0</v>
      </c>
      <c r="V8" s="15">
        <v>0</v>
      </c>
      <c r="W8" s="15">
        <v>0</v>
      </c>
      <c r="X8" s="15">
        <v>0</v>
      </c>
      <c r="Y8" s="15">
        <v>0</v>
      </c>
      <c r="Z8" s="15">
        <v>0</v>
      </c>
      <c r="AA8" s="15">
        <v>0</v>
      </c>
    </row>
    <row r="9" spans="1:27" ht="12.75">
      <c r="A9" s="13" t="s">
        <v>494</v>
      </c>
      <c r="B9" s="15" t="s">
        <v>52</v>
      </c>
      <c r="C9" s="15" t="s">
        <v>539</v>
      </c>
      <c r="D9" s="13" t="s">
        <v>165</v>
      </c>
      <c r="E9" s="15">
        <v>2</v>
      </c>
      <c r="F9" s="15">
        <v>2</v>
      </c>
      <c r="G9" s="15">
        <v>18</v>
      </c>
      <c r="H9" s="15">
        <v>8</v>
      </c>
      <c r="I9" s="15">
        <v>8</v>
      </c>
      <c r="J9" s="15">
        <v>15</v>
      </c>
      <c r="K9" s="15">
        <v>16</v>
      </c>
      <c r="L9" s="15">
        <v>18</v>
      </c>
      <c r="M9" s="15">
        <v>18</v>
      </c>
      <c r="N9" s="15">
        <v>18</v>
      </c>
      <c r="O9" s="15">
        <v>18</v>
      </c>
      <c r="P9" s="15">
        <v>18</v>
      </c>
      <c r="Q9" s="15">
        <v>18</v>
      </c>
      <c r="R9" s="15">
        <v>18</v>
      </c>
      <c r="S9" s="15">
        <v>18</v>
      </c>
      <c r="T9" s="15">
        <v>10</v>
      </c>
      <c r="U9" s="15">
        <v>0</v>
      </c>
      <c r="V9" s="15">
        <v>0</v>
      </c>
      <c r="W9" s="15">
        <v>0</v>
      </c>
      <c r="X9" s="15">
        <v>0</v>
      </c>
      <c r="Y9" s="15">
        <v>0</v>
      </c>
      <c r="Z9" s="15">
        <v>0</v>
      </c>
      <c r="AA9" s="15">
        <v>0</v>
      </c>
    </row>
    <row r="10" spans="1:27" ht="12.75">
      <c r="A10" s="13" t="s">
        <v>494</v>
      </c>
      <c r="B10" s="15" t="s">
        <v>52</v>
      </c>
      <c r="C10" s="15" t="s">
        <v>541</v>
      </c>
      <c r="D10" s="13" t="s">
        <v>542</v>
      </c>
      <c r="E10" s="15">
        <v>8</v>
      </c>
      <c r="F10" s="15">
        <v>8</v>
      </c>
      <c r="G10" s="15">
        <v>2</v>
      </c>
      <c r="H10" s="15">
        <v>0</v>
      </c>
      <c r="I10" s="15">
        <v>0</v>
      </c>
      <c r="J10" s="15">
        <v>0</v>
      </c>
      <c r="K10" s="15">
        <v>0</v>
      </c>
      <c r="L10" s="15">
        <v>0</v>
      </c>
      <c r="M10" s="15">
        <v>0</v>
      </c>
      <c r="N10" s="15">
        <v>0</v>
      </c>
      <c r="O10" s="15">
        <v>0</v>
      </c>
      <c r="P10" s="15">
        <v>0</v>
      </c>
      <c r="Q10" s="15">
        <v>0</v>
      </c>
      <c r="R10" s="15">
        <v>0</v>
      </c>
      <c r="S10" s="15">
        <v>0</v>
      </c>
      <c r="T10" s="15">
        <v>0</v>
      </c>
      <c r="U10" s="15">
        <v>0</v>
      </c>
      <c r="V10" s="15">
        <v>0</v>
      </c>
      <c r="W10" s="15">
        <v>0</v>
      </c>
      <c r="X10" s="15">
        <v>0</v>
      </c>
      <c r="Y10" s="15">
        <v>0</v>
      </c>
      <c r="Z10" s="15">
        <v>0</v>
      </c>
      <c r="AA10" s="15">
        <v>0</v>
      </c>
    </row>
    <row r="11" spans="1:27" ht="12" customHeight="1">
      <c r="A11" s="13" t="s">
        <v>494</v>
      </c>
      <c r="B11" s="15" t="s">
        <v>52</v>
      </c>
      <c r="C11" s="15" t="s">
        <v>151</v>
      </c>
      <c r="D11" s="39"/>
      <c r="E11" s="50">
        <v>8</v>
      </c>
      <c r="F11" s="50">
        <v>15</v>
      </c>
      <c r="G11" s="50">
        <v>14</v>
      </c>
      <c r="H11" s="50">
        <v>14</v>
      </c>
      <c r="I11" s="50">
        <v>14</v>
      </c>
      <c r="J11" s="50">
        <v>14</v>
      </c>
      <c r="K11" s="50">
        <v>14</v>
      </c>
      <c r="L11" s="50">
        <v>0</v>
      </c>
      <c r="M11" s="50">
        <v>14</v>
      </c>
      <c r="N11" s="50">
        <v>14</v>
      </c>
      <c r="O11" s="50">
        <v>14</v>
      </c>
      <c r="P11" s="50">
        <v>14</v>
      </c>
      <c r="Q11" s="50">
        <v>0</v>
      </c>
      <c r="R11" s="50">
        <v>14</v>
      </c>
      <c r="S11" s="50">
        <v>10</v>
      </c>
      <c r="T11" s="50">
        <v>32</v>
      </c>
      <c r="U11" s="50">
        <v>32</v>
      </c>
      <c r="V11" s="50">
        <v>32</v>
      </c>
      <c r="W11" s="50">
        <v>12</v>
      </c>
      <c r="X11" s="50">
        <v>0</v>
      </c>
      <c r="Y11" s="50">
        <v>7</v>
      </c>
      <c r="Z11" s="50">
        <v>0</v>
      </c>
      <c r="AA11" s="50">
        <v>0</v>
      </c>
    </row>
    <row r="12" spans="1:27" ht="12.75">
      <c r="A12" s="45" t="str">
        <f aca="true" t="shared" si="4" ref="A12:B12">A9</f>
        <v>dev</v>
      </c>
      <c r="B12" s="70" t="str">
        <f t="shared" si="4"/>
        <v>AJuretus</v>
      </c>
      <c r="C12" s="47" t="str">
        <f>"TOTAL Avail: "&amp;B12</f>
        <v>TOTAL Avail: AJuretus</v>
      </c>
      <c r="D12" s="49"/>
      <c r="E12" s="51" t="str">
        <f aca="true" t="shared" si="5" ref="E12:T12">SUM(E7:E10)</f>
        <v>24</v>
      </c>
      <c r="F12" s="51" t="str">
        <f t="shared" si="5"/>
        <v>24</v>
      </c>
      <c r="G12" s="51" t="str">
        <f t="shared" si="5"/>
        <v>34</v>
      </c>
      <c r="H12" s="51" t="str">
        <f t="shared" si="5"/>
        <v>22</v>
      </c>
      <c r="I12" s="51" t="str">
        <f t="shared" si="5"/>
        <v>22</v>
      </c>
      <c r="J12" s="51" t="str">
        <f t="shared" si="5"/>
        <v>32</v>
      </c>
      <c r="K12" s="51" t="str">
        <f t="shared" si="5"/>
        <v>32</v>
      </c>
      <c r="L12" s="51" t="str">
        <f t="shared" si="5"/>
        <v>32</v>
      </c>
      <c r="M12" s="51" t="str">
        <f t="shared" si="5"/>
        <v>38</v>
      </c>
      <c r="N12" s="51" t="str">
        <f t="shared" si="5"/>
        <v>32</v>
      </c>
      <c r="O12" s="51" t="str">
        <f t="shared" si="5"/>
        <v>32</v>
      </c>
      <c r="P12" s="51" t="str">
        <f t="shared" si="5"/>
        <v>32</v>
      </c>
      <c r="Q12" s="51" t="str">
        <f t="shared" si="5"/>
        <v>32</v>
      </c>
      <c r="R12" s="51" t="str">
        <f t="shared" si="5"/>
        <v>32</v>
      </c>
      <c r="S12" s="51" t="str">
        <f t="shared" si="5"/>
        <v>32</v>
      </c>
      <c r="T12" s="51" t="str">
        <f t="shared" si="5"/>
        <v>25</v>
      </c>
      <c r="U12" s="51" t="str">
        <f aca="true" t="shared" si="6" ref="U12:W12">32-SUM(U7:U10)</f>
        <v>2</v>
      </c>
      <c r="V12" s="51" t="str">
        <f t="shared" si="6"/>
        <v>2</v>
      </c>
      <c r="W12" s="51" t="str">
        <f t="shared" si="6"/>
        <v>2</v>
      </c>
      <c r="X12" s="51" t="str">
        <f aca="true" t="shared" si="7" ref="X12:AA12">32-SUM(X7:X11)</f>
        <v>2</v>
      </c>
      <c r="Y12" s="51" t="str">
        <f t="shared" si="7"/>
        <v>-5</v>
      </c>
      <c r="Z12" s="51" t="str">
        <f t="shared" si="7"/>
        <v>2</v>
      </c>
      <c r="AA12" s="51" t="str">
        <f t="shared" si="7"/>
        <v>2</v>
      </c>
    </row>
    <row r="13" spans="1:27" ht="12" customHeight="1">
      <c r="A13" s="13" t="s">
        <v>494</v>
      </c>
      <c r="B13" s="15" t="s">
        <v>56</v>
      </c>
      <c r="C13" s="15" t="s">
        <v>260</v>
      </c>
      <c r="D13" s="15" t="s">
        <v>549</v>
      </c>
      <c r="E13" s="15">
        <v>16</v>
      </c>
      <c r="F13" s="15">
        <v>16</v>
      </c>
      <c r="G13" s="15">
        <v>16</v>
      </c>
      <c r="H13" s="15">
        <v>16</v>
      </c>
      <c r="I13" s="15">
        <v>16</v>
      </c>
      <c r="J13" s="15">
        <v>4</v>
      </c>
      <c r="K13" s="15">
        <v>16</v>
      </c>
      <c r="L13" s="15">
        <v>16</v>
      </c>
      <c r="M13" s="15">
        <v>16</v>
      </c>
      <c r="N13" s="15">
        <v>12</v>
      </c>
      <c r="O13" s="15">
        <v>16</v>
      </c>
      <c r="P13" s="15">
        <v>4</v>
      </c>
      <c r="Q13" s="15">
        <v>4</v>
      </c>
      <c r="R13" s="15">
        <v>4</v>
      </c>
      <c r="S13" s="15">
        <v>10</v>
      </c>
      <c r="T13" s="15">
        <v>4</v>
      </c>
      <c r="U13" s="15">
        <v>4</v>
      </c>
      <c r="V13" s="15">
        <v>4</v>
      </c>
      <c r="W13" s="15">
        <v>4</v>
      </c>
      <c r="X13" s="15">
        <v>4</v>
      </c>
      <c r="Y13" s="15">
        <v>4</v>
      </c>
      <c r="Z13" s="15">
        <v>4</v>
      </c>
      <c r="AA13" s="15">
        <v>4</v>
      </c>
    </row>
    <row r="14" spans="1:27" ht="12" customHeight="1">
      <c r="A14" s="13" t="s">
        <v>494</v>
      </c>
      <c r="B14" s="15" t="s">
        <v>56</v>
      </c>
      <c r="C14" s="15" t="s">
        <v>550</v>
      </c>
      <c r="D14" s="15" t="s">
        <v>551</v>
      </c>
      <c r="E14" s="39"/>
      <c r="F14" s="39"/>
      <c r="G14" s="39"/>
      <c r="H14" s="39"/>
      <c r="I14" s="39"/>
      <c r="J14" s="39"/>
      <c r="K14" s="39"/>
      <c r="L14" s="39"/>
      <c r="M14" s="39"/>
      <c r="N14" s="39"/>
      <c r="O14" s="39"/>
      <c r="P14" s="39"/>
      <c r="Q14" s="39"/>
      <c r="R14" s="39"/>
      <c r="S14" s="39"/>
      <c r="T14" s="15">
        <v>6</v>
      </c>
      <c r="U14" s="15">
        <v>4</v>
      </c>
      <c r="V14" s="15">
        <v>6</v>
      </c>
      <c r="W14" s="15">
        <v>4</v>
      </c>
      <c r="X14" s="15">
        <v>4</v>
      </c>
      <c r="Y14" s="15">
        <v>4</v>
      </c>
      <c r="Z14" s="15">
        <v>4</v>
      </c>
      <c r="AA14" s="15">
        <v>4</v>
      </c>
    </row>
    <row r="15" spans="1:27" ht="12" customHeight="1">
      <c r="A15" s="13" t="s">
        <v>494</v>
      </c>
      <c r="B15" s="15" t="s">
        <v>56</v>
      </c>
      <c r="C15" s="15" t="s">
        <v>537</v>
      </c>
      <c r="D15" s="15" t="s">
        <v>552</v>
      </c>
      <c r="E15" s="15">
        <v>4</v>
      </c>
      <c r="F15" s="15">
        <v>4</v>
      </c>
      <c r="G15" s="15">
        <v>4</v>
      </c>
      <c r="H15" s="15">
        <v>4</v>
      </c>
      <c r="I15" s="15">
        <v>4</v>
      </c>
      <c r="J15" s="15">
        <v>16</v>
      </c>
      <c r="K15" s="15">
        <v>4</v>
      </c>
      <c r="L15" s="15">
        <v>4</v>
      </c>
      <c r="M15" s="15">
        <v>4</v>
      </c>
      <c r="N15" s="15">
        <v>10</v>
      </c>
      <c r="O15" s="15">
        <v>4</v>
      </c>
      <c r="P15" s="15">
        <v>16</v>
      </c>
      <c r="Q15" s="15">
        <v>16</v>
      </c>
      <c r="R15" s="15">
        <v>16</v>
      </c>
      <c r="S15" s="15">
        <v>16</v>
      </c>
      <c r="T15" s="15">
        <v>10</v>
      </c>
      <c r="U15" s="15">
        <v>12</v>
      </c>
      <c r="V15" s="15">
        <v>10</v>
      </c>
      <c r="W15" s="15">
        <v>2</v>
      </c>
      <c r="X15" s="15">
        <v>0</v>
      </c>
      <c r="Y15" s="15">
        <v>0</v>
      </c>
      <c r="Z15" s="15">
        <v>0</v>
      </c>
      <c r="AA15" s="15">
        <v>0</v>
      </c>
    </row>
    <row r="16" spans="1:27" ht="12" customHeight="1">
      <c r="A16" s="13" t="s">
        <v>494</v>
      </c>
      <c r="B16" s="15" t="s">
        <v>56</v>
      </c>
      <c r="C16" s="15" t="s">
        <v>512</v>
      </c>
      <c r="D16" s="15" t="s">
        <v>553</v>
      </c>
      <c r="E16" s="15">
        <v>2</v>
      </c>
      <c r="F16" s="15">
        <v>2</v>
      </c>
      <c r="G16" s="15">
        <v>2</v>
      </c>
      <c r="H16" s="15">
        <v>2</v>
      </c>
      <c r="I16" s="15">
        <v>2</v>
      </c>
      <c r="J16" s="15">
        <v>0</v>
      </c>
      <c r="K16" s="15">
        <v>0</v>
      </c>
      <c r="L16" s="15">
        <v>0</v>
      </c>
      <c r="M16" s="15">
        <v>0</v>
      </c>
      <c r="N16" s="15">
        <v>0</v>
      </c>
      <c r="O16" s="15">
        <v>0</v>
      </c>
      <c r="P16" s="15">
        <v>0</v>
      </c>
      <c r="Q16" s="15">
        <v>0</v>
      </c>
      <c r="R16" s="15">
        <v>0</v>
      </c>
      <c r="S16" s="15">
        <v>0</v>
      </c>
      <c r="T16" s="15">
        <v>2</v>
      </c>
      <c r="U16" s="15">
        <v>2</v>
      </c>
      <c r="V16" s="15">
        <v>2</v>
      </c>
      <c r="W16" s="15">
        <v>2</v>
      </c>
      <c r="X16" s="15">
        <v>2</v>
      </c>
      <c r="Y16" s="15">
        <v>2</v>
      </c>
      <c r="Z16" s="15">
        <v>2</v>
      </c>
      <c r="AA16" s="15">
        <v>2</v>
      </c>
    </row>
    <row r="17" spans="1:27" ht="12" customHeight="1">
      <c r="A17" s="13" t="s">
        <v>494</v>
      </c>
      <c r="B17" s="15" t="s">
        <v>56</v>
      </c>
      <c r="C17" s="15" t="s">
        <v>42</v>
      </c>
      <c r="D17" s="15" t="s">
        <v>554</v>
      </c>
      <c r="E17" s="15">
        <v>2</v>
      </c>
      <c r="F17" s="15">
        <v>2</v>
      </c>
      <c r="G17" s="15">
        <v>2</v>
      </c>
      <c r="H17" s="15">
        <v>2</v>
      </c>
      <c r="I17" s="15">
        <v>2</v>
      </c>
      <c r="J17" s="15">
        <v>0</v>
      </c>
      <c r="K17" s="15">
        <v>0</v>
      </c>
      <c r="L17" s="15">
        <v>0</v>
      </c>
      <c r="M17" s="15">
        <v>0</v>
      </c>
      <c r="N17" s="15">
        <v>0</v>
      </c>
      <c r="O17" s="15">
        <v>0</v>
      </c>
      <c r="P17" s="15">
        <v>0</v>
      </c>
      <c r="Q17" s="15">
        <v>0</v>
      </c>
      <c r="R17" s="15">
        <v>0</v>
      </c>
      <c r="S17" s="15">
        <v>4</v>
      </c>
      <c r="T17" s="15">
        <v>2</v>
      </c>
      <c r="U17" s="15">
        <v>2</v>
      </c>
      <c r="V17" s="15">
        <v>2</v>
      </c>
      <c r="W17" s="15">
        <v>15</v>
      </c>
      <c r="X17" s="15">
        <v>15</v>
      </c>
      <c r="Y17" s="15">
        <v>5</v>
      </c>
      <c r="Z17" s="15">
        <v>5</v>
      </c>
      <c r="AA17" s="15">
        <v>5</v>
      </c>
    </row>
    <row r="18" spans="1:27" ht="12.75">
      <c r="A18" s="13" t="s">
        <v>494</v>
      </c>
      <c r="B18" s="15" t="s">
        <v>56</v>
      </c>
      <c r="C18" s="15" t="s">
        <v>489</v>
      </c>
      <c r="D18" s="15" t="s">
        <v>490</v>
      </c>
      <c r="E18" s="15">
        <v>10</v>
      </c>
      <c r="F18" s="15">
        <v>10</v>
      </c>
      <c r="G18" s="15">
        <v>10</v>
      </c>
      <c r="H18" s="15">
        <v>10</v>
      </c>
      <c r="I18" s="15">
        <v>10</v>
      </c>
      <c r="J18" s="15">
        <v>10</v>
      </c>
      <c r="K18" s="15">
        <v>10</v>
      </c>
      <c r="L18" s="15">
        <v>10</v>
      </c>
      <c r="M18" s="15">
        <v>10</v>
      </c>
      <c r="N18" s="15">
        <v>10</v>
      </c>
      <c r="O18" s="15">
        <v>10</v>
      </c>
      <c r="P18" s="15">
        <v>10</v>
      </c>
      <c r="Q18" s="15">
        <v>12</v>
      </c>
      <c r="R18" s="15">
        <v>10</v>
      </c>
      <c r="S18" s="15">
        <v>2</v>
      </c>
      <c r="T18" s="15">
        <v>10</v>
      </c>
      <c r="U18" s="15">
        <v>10</v>
      </c>
      <c r="V18" s="15">
        <v>10</v>
      </c>
      <c r="W18" s="15">
        <v>10</v>
      </c>
      <c r="X18" s="15">
        <v>10</v>
      </c>
      <c r="Y18" s="15">
        <v>10</v>
      </c>
      <c r="Z18" s="15">
        <v>10</v>
      </c>
      <c r="AA18" s="15">
        <v>10</v>
      </c>
    </row>
    <row r="19" spans="1:27" ht="12.75">
      <c r="A19" s="13" t="s">
        <v>494</v>
      </c>
      <c r="B19" s="15" t="s">
        <v>56</v>
      </c>
      <c r="C19" s="15" t="s">
        <v>151</v>
      </c>
      <c r="D19" s="39"/>
      <c r="E19" s="50">
        <v>8</v>
      </c>
      <c r="F19" s="50">
        <v>15</v>
      </c>
      <c r="G19" s="50">
        <v>14</v>
      </c>
      <c r="H19" s="50">
        <v>14</v>
      </c>
      <c r="I19" s="50">
        <v>14</v>
      </c>
      <c r="J19" s="50">
        <v>14</v>
      </c>
      <c r="K19" s="50">
        <v>14</v>
      </c>
      <c r="L19" s="50">
        <v>0</v>
      </c>
      <c r="M19" s="50">
        <v>14</v>
      </c>
      <c r="N19" s="50">
        <v>14</v>
      </c>
      <c r="O19" s="50">
        <v>14</v>
      </c>
      <c r="P19" s="50">
        <v>14</v>
      </c>
      <c r="Q19" s="50">
        <v>0</v>
      </c>
      <c r="R19" s="50">
        <v>14</v>
      </c>
      <c r="S19" s="50">
        <v>10</v>
      </c>
      <c r="T19" s="50">
        <v>32</v>
      </c>
      <c r="U19" s="50">
        <v>32</v>
      </c>
      <c r="V19" s="50">
        <v>32</v>
      </c>
      <c r="W19" s="50">
        <v>12</v>
      </c>
      <c r="X19" s="50">
        <v>0</v>
      </c>
      <c r="Y19" s="50">
        <v>7</v>
      </c>
      <c r="Z19" s="50">
        <v>0</v>
      </c>
      <c r="AA19" s="50">
        <v>0</v>
      </c>
    </row>
    <row r="20" spans="1:27" ht="12.75">
      <c r="A20" s="45" t="str">
        <f aca="true" t="shared" si="8" ref="A20:B20">A16</f>
        <v>dev</v>
      </c>
      <c r="B20" s="70" t="str">
        <f t="shared" si="8"/>
        <v>JLong</v>
      </c>
      <c r="C20" s="47" t="str">
        <f>"TOTAL Avail: "&amp;B20</f>
        <v>TOTAL Avail: JLong</v>
      </c>
      <c r="D20" s="49"/>
      <c r="E20" s="51" t="str">
        <f aca="true" t="shared" si="9" ref="E20:S20">SUM(E13:E18)</f>
        <v>34</v>
      </c>
      <c r="F20" s="51" t="str">
        <f t="shared" si="9"/>
        <v>34</v>
      </c>
      <c r="G20" s="51" t="str">
        <f t="shared" si="9"/>
        <v>34</v>
      </c>
      <c r="H20" s="51" t="str">
        <f t="shared" si="9"/>
        <v>34</v>
      </c>
      <c r="I20" s="51" t="str">
        <f t="shared" si="9"/>
        <v>34</v>
      </c>
      <c r="J20" s="51" t="str">
        <f t="shared" si="9"/>
        <v>30</v>
      </c>
      <c r="K20" s="51" t="str">
        <f t="shared" si="9"/>
        <v>30</v>
      </c>
      <c r="L20" s="51" t="str">
        <f t="shared" si="9"/>
        <v>30</v>
      </c>
      <c r="M20" s="51" t="str">
        <f t="shared" si="9"/>
        <v>30</v>
      </c>
      <c r="N20" s="51" t="str">
        <f t="shared" si="9"/>
        <v>32</v>
      </c>
      <c r="O20" s="51" t="str">
        <f t="shared" si="9"/>
        <v>30</v>
      </c>
      <c r="P20" s="51" t="str">
        <f t="shared" si="9"/>
        <v>30</v>
      </c>
      <c r="Q20" s="51" t="str">
        <f t="shared" si="9"/>
        <v>32</v>
      </c>
      <c r="R20" s="51" t="str">
        <f t="shared" si="9"/>
        <v>30</v>
      </c>
      <c r="S20" s="51" t="str">
        <f t="shared" si="9"/>
        <v>32</v>
      </c>
      <c r="T20" s="51" t="str">
        <f aca="true" t="shared" si="10" ref="T20:W20">32-SUM(T13:T18)</f>
        <v>-2</v>
      </c>
      <c r="U20" s="51" t="str">
        <f t="shared" si="10"/>
        <v>-2</v>
      </c>
      <c r="V20" s="51" t="str">
        <f t="shared" si="10"/>
        <v>-2</v>
      </c>
      <c r="W20" s="51" t="str">
        <f t="shared" si="10"/>
        <v>-5</v>
      </c>
      <c r="X20" s="51" t="str">
        <f aca="true" t="shared" si="11" ref="X20:AA20">32-SUM(X13:X19)</f>
        <v>-3</v>
      </c>
      <c r="Y20" s="51" t="str">
        <f t="shared" si="11"/>
        <v>0</v>
      </c>
      <c r="Z20" s="51" t="str">
        <f t="shared" si="11"/>
        <v>7</v>
      </c>
      <c r="AA20" s="51" t="str">
        <f t="shared" si="11"/>
        <v>7</v>
      </c>
    </row>
    <row r="21" spans="1:27" ht="12" customHeight="1">
      <c r="A21" s="13" t="s">
        <v>494</v>
      </c>
      <c r="B21" s="15" t="s">
        <v>59</v>
      </c>
      <c r="C21" s="15" t="s">
        <v>142</v>
      </c>
      <c r="D21" s="15" t="s">
        <v>165</v>
      </c>
      <c r="E21" s="15">
        <v>8</v>
      </c>
      <c r="F21" s="15">
        <v>6</v>
      </c>
      <c r="G21" s="15">
        <v>6</v>
      </c>
      <c r="H21" s="15">
        <v>6</v>
      </c>
      <c r="I21" s="15">
        <v>6</v>
      </c>
      <c r="J21" s="15">
        <v>6</v>
      </c>
      <c r="K21" s="15">
        <v>6</v>
      </c>
      <c r="L21" s="15">
        <v>6</v>
      </c>
      <c r="M21" s="15">
        <v>6</v>
      </c>
      <c r="N21" s="15">
        <v>6</v>
      </c>
      <c r="O21" s="15">
        <v>6</v>
      </c>
      <c r="P21" s="15">
        <v>6</v>
      </c>
      <c r="Q21" s="15">
        <v>8</v>
      </c>
      <c r="R21" s="15">
        <v>8</v>
      </c>
      <c r="S21" s="15">
        <v>6</v>
      </c>
      <c r="T21" s="15">
        <v>8</v>
      </c>
      <c r="U21" s="15">
        <v>8</v>
      </c>
      <c r="V21" s="15">
        <v>8</v>
      </c>
      <c r="W21" s="15">
        <v>8</v>
      </c>
      <c r="X21" s="15">
        <v>8</v>
      </c>
      <c r="Y21" s="15">
        <v>8</v>
      </c>
      <c r="Z21" s="15">
        <v>8</v>
      </c>
      <c r="AA21" s="15">
        <v>8</v>
      </c>
    </row>
    <row r="22" spans="1:27" ht="12.75">
      <c r="A22" s="13" t="s">
        <v>494</v>
      </c>
      <c r="B22" s="15" t="s">
        <v>59</v>
      </c>
      <c r="C22" s="15" t="s">
        <v>557</v>
      </c>
      <c r="D22" s="15" t="s">
        <v>558</v>
      </c>
      <c r="E22" s="15">
        <v>8</v>
      </c>
      <c r="F22" s="15">
        <v>6</v>
      </c>
      <c r="G22" s="15">
        <v>6</v>
      </c>
      <c r="H22" s="15">
        <v>6</v>
      </c>
      <c r="I22" s="15">
        <v>6</v>
      </c>
      <c r="J22" s="15">
        <v>6</v>
      </c>
      <c r="K22" s="15">
        <v>6</v>
      </c>
      <c r="L22" s="15">
        <v>6</v>
      </c>
      <c r="M22" s="15">
        <v>6</v>
      </c>
      <c r="N22" s="15">
        <v>6</v>
      </c>
      <c r="O22" s="15">
        <v>2</v>
      </c>
      <c r="P22" s="15">
        <v>6</v>
      </c>
      <c r="Q22" s="15">
        <v>6</v>
      </c>
      <c r="R22" s="15">
        <v>6</v>
      </c>
      <c r="S22" s="15">
        <v>10</v>
      </c>
      <c r="T22" s="15">
        <v>6</v>
      </c>
      <c r="U22" s="15">
        <v>6</v>
      </c>
      <c r="V22" s="15">
        <v>6</v>
      </c>
      <c r="W22" s="15">
        <v>5</v>
      </c>
      <c r="X22" s="15">
        <v>0</v>
      </c>
      <c r="Y22" s="15">
        <v>0</v>
      </c>
      <c r="Z22" s="15">
        <v>0</v>
      </c>
      <c r="AA22" s="15">
        <v>0</v>
      </c>
    </row>
    <row r="23" spans="2:27" ht="12.75">
      <c r="B23" s="15" t="s">
        <v>59</v>
      </c>
      <c r="C23" s="15" t="s">
        <v>562</v>
      </c>
      <c r="D23" s="15" t="s">
        <v>563</v>
      </c>
      <c r="E23" s="39"/>
      <c r="F23" s="39"/>
      <c r="G23" s="39"/>
      <c r="H23" s="39"/>
      <c r="I23" s="39"/>
      <c r="J23" s="39"/>
      <c r="K23" s="39"/>
      <c r="L23" s="39"/>
      <c r="M23" s="39"/>
      <c r="N23" s="39"/>
      <c r="O23" s="39"/>
      <c r="P23" s="39"/>
      <c r="Q23" s="39"/>
      <c r="R23" s="39"/>
      <c r="S23" s="39"/>
      <c r="T23" s="15">
        <v>4</v>
      </c>
      <c r="U23" s="15">
        <v>4</v>
      </c>
      <c r="V23" s="15">
        <v>4</v>
      </c>
      <c r="W23" s="15">
        <v>6</v>
      </c>
      <c r="X23" s="15">
        <v>6</v>
      </c>
      <c r="Y23" s="15">
        <v>6</v>
      </c>
      <c r="Z23" s="15">
        <v>6</v>
      </c>
      <c r="AA23" s="15">
        <v>6</v>
      </c>
    </row>
    <row r="24" spans="1:27" ht="12.75">
      <c r="A24" s="13" t="s">
        <v>494</v>
      </c>
      <c r="B24" s="15" t="s">
        <v>59</v>
      </c>
      <c r="C24" s="15" t="s">
        <v>564</v>
      </c>
      <c r="D24" s="15" t="s">
        <v>565</v>
      </c>
      <c r="E24" s="15">
        <v>8</v>
      </c>
      <c r="F24" s="15">
        <v>6</v>
      </c>
      <c r="G24" s="15">
        <v>6</v>
      </c>
      <c r="H24" s="15">
        <v>6</v>
      </c>
      <c r="I24" s="15">
        <v>6</v>
      </c>
      <c r="J24" s="15">
        <v>6</v>
      </c>
      <c r="K24" s="15">
        <v>6</v>
      </c>
      <c r="L24" s="15">
        <v>6</v>
      </c>
      <c r="M24" s="15">
        <v>6</v>
      </c>
      <c r="N24" s="15">
        <v>6</v>
      </c>
      <c r="O24" s="15">
        <v>8</v>
      </c>
      <c r="P24" s="15">
        <v>6</v>
      </c>
      <c r="Q24" s="15">
        <v>0</v>
      </c>
      <c r="R24" s="15">
        <v>8</v>
      </c>
      <c r="S24" s="15">
        <v>0</v>
      </c>
      <c r="T24" s="15">
        <v>0</v>
      </c>
      <c r="U24" s="15">
        <v>0</v>
      </c>
      <c r="V24" s="15">
        <v>0</v>
      </c>
      <c r="W24" s="15">
        <v>0</v>
      </c>
      <c r="X24" s="15">
        <v>4</v>
      </c>
      <c r="Y24" s="15">
        <v>4</v>
      </c>
      <c r="Z24" s="15">
        <v>4</v>
      </c>
      <c r="AA24" s="15">
        <v>4</v>
      </c>
    </row>
    <row r="25" spans="1:27" ht="12.75">
      <c r="A25" s="13" t="s">
        <v>494</v>
      </c>
      <c r="B25" s="15" t="s">
        <v>59</v>
      </c>
      <c r="C25" s="15" t="s">
        <v>537</v>
      </c>
      <c r="D25" s="15" t="s">
        <v>567</v>
      </c>
      <c r="E25" s="15">
        <v>8</v>
      </c>
      <c r="F25" s="15">
        <v>8</v>
      </c>
      <c r="G25" s="15">
        <v>6</v>
      </c>
      <c r="H25" s="15">
        <v>6</v>
      </c>
      <c r="I25" s="15">
        <v>6</v>
      </c>
      <c r="J25" s="15">
        <v>6</v>
      </c>
      <c r="K25" s="15">
        <v>6</v>
      </c>
      <c r="L25" s="15">
        <v>6</v>
      </c>
      <c r="M25" s="15">
        <v>6</v>
      </c>
      <c r="N25" s="15">
        <v>6</v>
      </c>
      <c r="O25" s="15">
        <v>6</v>
      </c>
      <c r="P25" s="15">
        <v>6</v>
      </c>
      <c r="Q25" s="15">
        <v>6</v>
      </c>
      <c r="R25" s="15">
        <v>2</v>
      </c>
      <c r="S25" s="15">
        <v>2</v>
      </c>
      <c r="T25" s="15">
        <v>2</v>
      </c>
      <c r="U25" s="15">
        <v>2</v>
      </c>
      <c r="V25" s="15">
        <v>2</v>
      </c>
      <c r="W25" s="15">
        <v>2</v>
      </c>
      <c r="X25" s="15">
        <v>2</v>
      </c>
      <c r="Y25" s="15">
        <v>2</v>
      </c>
      <c r="Z25" s="15">
        <v>2</v>
      </c>
      <c r="AA25" s="15">
        <v>2</v>
      </c>
    </row>
    <row r="26" spans="1:27" ht="12.75">
      <c r="A26" s="13" t="s">
        <v>494</v>
      </c>
      <c r="B26" s="15" t="s">
        <v>59</v>
      </c>
      <c r="C26" s="15" t="s">
        <v>190</v>
      </c>
      <c r="D26" s="15" t="s">
        <v>165</v>
      </c>
      <c r="E26" s="15">
        <v>16</v>
      </c>
      <c r="F26" s="15">
        <v>12</v>
      </c>
      <c r="G26" s="15">
        <v>12</v>
      </c>
      <c r="H26" s="15">
        <v>12</v>
      </c>
      <c r="I26" s="15">
        <v>12</v>
      </c>
      <c r="J26" s="15">
        <v>12</v>
      </c>
      <c r="K26" s="15">
        <v>12</v>
      </c>
      <c r="L26" s="15">
        <v>12</v>
      </c>
      <c r="M26" s="15">
        <v>12</v>
      </c>
      <c r="N26" s="15">
        <v>12</v>
      </c>
      <c r="O26" s="15">
        <v>12</v>
      </c>
      <c r="P26" s="15">
        <v>12</v>
      </c>
      <c r="Q26" s="15">
        <v>12</v>
      </c>
      <c r="R26" s="15">
        <v>12</v>
      </c>
      <c r="S26" s="15">
        <v>14</v>
      </c>
      <c r="T26" s="15">
        <v>16</v>
      </c>
      <c r="U26" s="15">
        <v>16</v>
      </c>
      <c r="V26" s="15">
        <v>16</v>
      </c>
      <c r="W26" s="15">
        <v>16</v>
      </c>
      <c r="X26" s="15">
        <v>16</v>
      </c>
      <c r="Y26" s="15">
        <v>16</v>
      </c>
      <c r="Z26" s="15">
        <v>16</v>
      </c>
      <c r="AA26" s="15">
        <v>16</v>
      </c>
    </row>
    <row r="27" spans="1:27" ht="12.75">
      <c r="A27" s="13" t="s">
        <v>494</v>
      </c>
      <c r="B27" s="15" t="s">
        <v>59</v>
      </c>
      <c r="C27" s="15" t="s">
        <v>151</v>
      </c>
      <c r="D27" s="39"/>
      <c r="E27" s="50">
        <v>8</v>
      </c>
      <c r="F27" s="50">
        <v>15</v>
      </c>
      <c r="G27" s="50">
        <v>14</v>
      </c>
      <c r="H27" s="50">
        <v>14</v>
      </c>
      <c r="I27" s="50">
        <v>14</v>
      </c>
      <c r="J27" s="50">
        <v>14</v>
      </c>
      <c r="K27" s="50">
        <v>14</v>
      </c>
      <c r="L27" s="50">
        <v>0</v>
      </c>
      <c r="M27" s="50">
        <v>14</v>
      </c>
      <c r="N27" s="50">
        <v>14</v>
      </c>
      <c r="O27" s="50">
        <v>14</v>
      </c>
      <c r="P27" s="50">
        <v>14</v>
      </c>
      <c r="Q27" s="50">
        <v>0</v>
      </c>
      <c r="R27" s="50">
        <v>14</v>
      </c>
      <c r="S27" s="50">
        <v>10</v>
      </c>
      <c r="T27" s="50">
        <v>32</v>
      </c>
      <c r="U27" s="50">
        <v>32</v>
      </c>
      <c r="V27" s="50">
        <v>32</v>
      </c>
      <c r="W27" s="50">
        <v>12</v>
      </c>
      <c r="X27" s="50">
        <v>0</v>
      </c>
      <c r="Y27" s="50">
        <v>7</v>
      </c>
      <c r="Z27" s="50">
        <v>0</v>
      </c>
      <c r="AA27" s="50">
        <v>0</v>
      </c>
    </row>
    <row r="28" spans="1:27" ht="12.75">
      <c r="A28" s="45" t="str">
        <f aca="true" t="shared" si="12" ref="A28:B28">A26</f>
        <v>dev</v>
      </c>
      <c r="B28" s="70" t="str">
        <f t="shared" si="12"/>
        <v>SDeitz</v>
      </c>
      <c r="C28" s="47" t="str">
        <f>"TOTAL Avail: "&amp;B28</f>
        <v>TOTAL Avail: SDeitz</v>
      </c>
      <c r="D28" s="49"/>
      <c r="E28" s="51" t="str">
        <f aca="true" t="shared" si="13" ref="E28:S28">SUM(E21:E26)</f>
        <v>48</v>
      </c>
      <c r="F28" s="51" t="str">
        <f t="shared" si="13"/>
        <v>38</v>
      </c>
      <c r="G28" s="51" t="str">
        <f t="shared" si="13"/>
        <v>36</v>
      </c>
      <c r="H28" s="51" t="str">
        <f t="shared" si="13"/>
        <v>36</v>
      </c>
      <c r="I28" s="51" t="str">
        <f t="shared" si="13"/>
        <v>36</v>
      </c>
      <c r="J28" s="51" t="str">
        <f t="shared" si="13"/>
        <v>36</v>
      </c>
      <c r="K28" s="51" t="str">
        <f t="shared" si="13"/>
        <v>36</v>
      </c>
      <c r="L28" s="51" t="str">
        <f t="shared" si="13"/>
        <v>36</v>
      </c>
      <c r="M28" s="51" t="str">
        <f t="shared" si="13"/>
        <v>36</v>
      </c>
      <c r="N28" s="51" t="str">
        <f t="shared" si="13"/>
        <v>36</v>
      </c>
      <c r="O28" s="51" t="str">
        <f t="shared" si="13"/>
        <v>34</v>
      </c>
      <c r="P28" s="51" t="str">
        <f t="shared" si="13"/>
        <v>36</v>
      </c>
      <c r="Q28" s="51" t="str">
        <f t="shared" si="13"/>
        <v>32</v>
      </c>
      <c r="R28" s="51" t="str">
        <f t="shared" si="13"/>
        <v>36</v>
      </c>
      <c r="S28" s="51" t="str">
        <f t="shared" si="13"/>
        <v>32</v>
      </c>
      <c r="T28" s="51" t="str">
        <f aca="true" t="shared" si="14" ref="T28:W28">32-SUM(T21:T26)</f>
        <v>-4</v>
      </c>
      <c r="U28" s="51" t="str">
        <f t="shared" si="14"/>
        <v>-4</v>
      </c>
      <c r="V28" s="51" t="str">
        <f t="shared" si="14"/>
        <v>-4</v>
      </c>
      <c r="W28" s="51" t="str">
        <f t="shared" si="14"/>
        <v>-5</v>
      </c>
      <c r="X28" s="51" t="str">
        <f aca="true" t="shared" si="15" ref="X28:AA28">32-SUM(X21:X27)</f>
        <v>-4</v>
      </c>
      <c r="Y28" s="51" t="str">
        <f t="shared" si="15"/>
        <v>-11</v>
      </c>
      <c r="Z28" s="51" t="str">
        <f t="shared" si="15"/>
        <v>-4</v>
      </c>
      <c r="AA28" s="51" t="str">
        <f t="shared" si="15"/>
        <v>-4</v>
      </c>
    </row>
    <row r="29" spans="1:27" ht="12" customHeight="1">
      <c r="A29" s="13" t="s">
        <v>494</v>
      </c>
      <c r="B29" s="15" t="s">
        <v>63</v>
      </c>
      <c r="C29" s="15" t="s">
        <v>142</v>
      </c>
      <c r="D29" s="15" t="s">
        <v>165</v>
      </c>
      <c r="E29" s="50">
        <v>16</v>
      </c>
      <c r="F29" s="50">
        <v>16</v>
      </c>
      <c r="G29" s="50">
        <v>12</v>
      </c>
      <c r="H29" s="50">
        <v>12</v>
      </c>
      <c r="I29" s="50">
        <v>12</v>
      </c>
      <c r="J29" s="50">
        <v>0</v>
      </c>
      <c r="K29" s="50">
        <v>0</v>
      </c>
      <c r="L29" s="50">
        <v>0</v>
      </c>
      <c r="M29" s="50">
        <v>0</v>
      </c>
      <c r="N29" s="50">
        <v>0</v>
      </c>
      <c r="O29" s="50">
        <v>0</v>
      </c>
      <c r="P29" s="50">
        <v>0</v>
      </c>
      <c r="Q29" s="50">
        <v>0</v>
      </c>
      <c r="R29" s="50">
        <v>0</v>
      </c>
      <c r="S29" s="50">
        <v>3</v>
      </c>
      <c r="T29" s="50">
        <v>0</v>
      </c>
      <c r="U29" s="50">
        <v>0</v>
      </c>
      <c r="V29" s="50">
        <v>0</v>
      </c>
      <c r="W29" s="50">
        <v>15</v>
      </c>
      <c r="X29" s="50">
        <v>15</v>
      </c>
      <c r="Y29" s="50">
        <v>15</v>
      </c>
      <c r="Z29" s="50">
        <v>15</v>
      </c>
      <c r="AA29" s="50">
        <v>15</v>
      </c>
    </row>
    <row r="30" spans="1:27" ht="12" customHeight="1">
      <c r="A30" s="13" t="s">
        <v>494</v>
      </c>
      <c r="B30" s="15" t="s">
        <v>63</v>
      </c>
      <c r="C30" s="15" t="s">
        <v>167</v>
      </c>
      <c r="D30" s="15" t="s">
        <v>218</v>
      </c>
      <c r="E30" s="50">
        <v>4</v>
      </c>
      <c r="F30" s="50">
        <v>4</v>
      </c>
      <c r="G30" s="50">
        <v>4</v>
      </c>
      <c r="H30" s="50">
        <v>4</v>
      </c>
      <c r="I30" s="50">
        <v>4</v>
      </c>
      <c r="J30" s="50">
        <v>4</v>
      </c>
      <c r="K30" s="50">
        <v>4</v>
      </c>
      <c r="L30" s="50">
        <v>4</v>
      </c>
      <c r="M30" s="50">
        <v>4</v>
      </c>
      <c r="N30" s="50">
        <v>4</v>
      </c>
      <c r="O30" s="50">
        <v>4</v>
      </c>
      <c r="P30" s="50">
        <v>4</v>
      </c>
      <c r="Q30" s="50">
        <v>4</v>
      </c>
      <c r="R30" s="50">
        <v>4</v>
      </c>
      <c r="S30" s="50">
        <v>4</v>
      </c>
      <c r="T30" s="50">
        <v>4</v>
      </c>
      <c r="U30" s="50">
        <v>4</v>
      </c>
      <c r="V30" s="50">
        <v>4</v>
      </c>
      <c r="W30" s="50">
        <v>4</v>
      </c>
      <c r="X30" s="50">
        <v>4</v>
      </c>
      <c r="Y30" s="50">
        <v>4</v>
      </c>
      <c r="Z30" s="50">
        <v>4</v>
      </c>
      <c r="AA30" s="50">
        <v>4</v>
      </c>
    </row>
    <row r="31" spans="1:27" ht="12.75">
      <c r="A31" s="13" t="s">
        <v>494</v>
      </c>
      <c r="B31" s="15" t="s">
        <v>63</v>
      </c>
      <c r="C31" s="13" t="s">
        <v>42</v>
      </c>
      <c r="D31" s="13" t="s">
        <v>572</v>
      </c>
      <c r="E31" s="50">
        <v>8</v>
      </c>
      <c r="F31" s="50">
        <v>8</v>
      </c>
      <c r="G31" s="50">
        <v>10</v>
      </c>
      <c r="H31" s="50">
        <v>10</v>
      </c>
      <c r="I31" s="50">
        <v>10</v>
      </c>
      <c r="J31" s="50">
        <v>28</v>
      </c>
      <c r="K31" s="50">
        <v>28</v>
      </c>
      <c r="L31" s="50">
        <v>28</v>
      </c>
      <c r="M31" s="50">
        <v>28</v>
      </c>
      <c r="N31" s="50">
        <v>23</v>
      </c>
      <c r="O31" s="50">
        <v>28</v>
      </c>
      <c r="P31" s="50">
        <v>23</v>
      </c>
      <c r="Q31" s="50">
        <v>23</v>
      </c>
      <c r="R31" s="50">
        <v>23</v>
      </c>
      <c r="S31" s="50">
        <v>21</v>
      </c>
      <c r="T31" s="50">
        <v>12</v>
      </c>
      <c r="U31" s="50">
        <v>2</v>
      </c>
      <c r="V31" s="50">
        <v>10</v>
      </c>
      <c r="W31" s="50">
        <v>16</v>
      </c>
      <c r="X31" s="50">
        <v>16</v>
      </c>
      <c r="Y31" s="50">
        <v>16</v>
      </c>
      <c r="Z31" s="50">
        <v>16</v>
      </c>
      <c r="AA31" s="50">
        <v>16</v>
      </c>
    </row>
    <row r="32" spans="1:27" ht="12.75">
      <c r="A32" s="13" t="s">
        <v>494</v>
      </c>
      <c r="B32" s="15" t="s">
        <v>63</v>
      </c>
      <c r="C32" s="15" t="s">
        <v>573</v>
      </c>
      <c r="D32" s="13" t="s">
        <v>574</v>
      </c>
      <c r="E32" s="50">
        <v>2</v>
      </c>
      <c r="F32" s="50">
        <v>2</v>
      </c>
      <c r="G32" s="50">
        <v>0</v>
      </c>
      <c r="H32" s="50">
        <v>0</v>
      </c>
      <c r="I32" s="50">
        <v>0</v>
      </c>
      <c r="J32" s="50">
        <v>0</v>
      </c>
      <c r="K32" s="50">
        <v>0</v>
      </c>
      <c r="L32" s="50">
        <v>0</v>
      </c>
      <c r="M32" s="50">
        <v>0</v>
      </c>
      <c r="N32" s="50">
        <v>0</v>
      </c>
      <c r="O32" s="50">
        <v>0</v>
      </c>
      <c r="P32" s="50">
        <v>5</v>
      </c>
      <c r="Q32" s="50">
        <v>2</v>
      </c>
      <c r="R32" s="50">
        <v>5</v>
      </c>
      <c r="S32" s="50">
        <v>4</v>
      </c>
      <c r="T32" s="50">
        <v>2</v>
      </c>
      <c r="U32" s="50">
        <v>2</v>
      </c>
      <c r="V32" s="50">
        <v>2</v>
      </c>
      <c r="W32" s="50">
        <v>2</v>
      </c>
      <c r="X32" s="50">
        <v>2</v>
      </c>
      <c r="Y32" s="50">
        <v>2</v>
      </c>
      <c r="Z32" s="50">
        <v>2</v>
      </c>
      <c r="AA32" s="50">
        <v>2</v>
      </c>
    </row>
    <row r="33" spans="1:27" ht="12.75">
      <c r="A33" s="13" t="s">
        <v>494</v>
      </c>
      <c r="B33" s="15" t="s">
        <v>63</v>
      </c>
      <c r="C33" s="15" t="s">
        <v>151</v>
      </c>
      <c r="D33" s="39"/>
      <c r="E33" s="50">
        <v>8</v>
      </c>
      <c r="F33" s="50">
        <v>15</v>
      </c>
      <c r="G33" s="50">
        <v>14</v>
      </c>
      <c r="H33" s="50">
        <v>14</v>
      </c>
      <c r="I33" s="50">
        <v>14</v>
      </c>
      <c r="J33" s="50">
        <v>14</v>
      </c>
      <c r="K33" s="50">
        <v>14</v>
      </c>
      <c r="L33" s="50">
        <v>0</v>
      </c>
      <c r="M33" s="50">
        <v>14</v>
      </c>
      <c r="N33" s="50">
        <v>14</v>
      </c>
      <c r="O33" s="50">
        <v>14</v>
      </c>
      <c r="P33" s="50">
        <v>14</v>
      </c>
      <c r="Q33" s="50">
        <v>0</v>
      </c>
      <c r="R33" s="50">
        <v>14</v>
      </c>
      <c r="S33" s="50">
        <v>10</v>
      </c>
      <c r="T33" s="50">
        <v>32</v>
      </c>
      <c r="U33" s="50">
        <v>32</v>
      </c>
      <c r="V33" s="50">
        <v>32</v>
      </c>
      <c r="W33" s="50">
        <v>12</v>
      </c>
      <c r="X33" s="50">
        <v>0</v>
      </c>
      <c r="Y33" s="50">
        <v>7</v>
      </c>
      <c r="Z33" s="50">
        <v>0</v>
      </c>
      <c r="AA33" s="50">
        <v>0</v>
      </c>
    </row>
    <row r="34" spans="1:27" ht="12.75">
      <c r="A34" s="45" t="str">
        <f aca="true" t="shared" si="16" ref="A34:B34">A32</f>
        <v>dev</v>
      </c>
      <c r="B34" s="70" t="str">
        <f t="shared" si="16"/>
        <v>NKuhnel</v>
      </c>
      <c r="C34" s="47" t="str">
        <f>"TOTAL Avail: "&amp;B34</f>
        <v>TOTAL Avail: NKuhnel</v>
      </c>
      <c r="D34" s="49"/>
      <c r="E34" s="51" t="str">
        <f aca="true" t="shared" si="17" ref="E34:S34">SUM(E29:E32)</f>
        <v>30</v>
      </c>
      <c r="F34" s="51" t="str">
        <f t="shared" si="17"/>
        <v>30</v>
      </c>
      <c r="G34" s="51" t="str">
        <f t="shared" si="17"/>
        <v>26</v>
      </c>
      <c r="H34" s="51" t="str">
        <f t="shared" si="17"/>
        <v>26</v>
      </c>
      <c r="I34" s="51" t="str">
        <f t="shared" si="17"/>
        <v>26</v>
      </c>
      <c r="J34" s="51" t="str">
        <f t="shared" si="17"/>
        <v>32</v>
      </c>
      <c r="K34" s="51" t="str">
        <f t="shared" si="17"/>
        <v>32</v>
      </c>
      <c r="L34" s="51" t="str">
        <f t="shared" si="17"/>
        <v>32</v>
      </c>
      <c r="M34" s="51" t="str">
        <f t="shared" si="17"/>
        <v>32</v>
      </c>
      <c r="N34" s="51" t="str">
        <f t="shared" si="17"/>
        <v>27</v>
      </c>
      <c r="O34" s="51" t="str">
        <f t="shared" si="17"/>
        <v>32</v>
      </c>
      <c r="P34" s="51" t="str">
        <f t="shared" si="17"/>
        <v>32</v>
      </c>
      <c r="Q34" s="51" t="str">
        <f t="shared" si="17"/>
        <v>29</v>
      </c>
      <c r="R34" s="51" t="str">
        <f t="shared" si="17"/>
        <v>32</v>
      </c>
      <c r="S34" s="51" t="str">
        <f t="shared" si="17"/>
        <v>32</v>
      </c>
      <c r="T34" s="51" t="str">
        <f aca="true" t="shared" si="18" ref="T34:W34">32-SUM(T29:T32)</f>
        <v>14</v>
      </c>
      <c r="U34" s="51" t="str">
        <f t="shared" si="18"/>
        <v>24</v>
      </c>
      <c r="V34" s="51" t="str">
        <f t="shared" si="18"/>
        <v>16</v>
      </c>
      <c r="W34" s="51" t="str">
        <f t="shared" si="18"/>
        <v>-5</v>
      </c>
      <c r="X34" s="51" t="str">
        <f aca="true" t="shared" si="19" ref="X34:AA34">32-SUM(X29:X33)</f>
        <v>-5</v>
      </c>
      <c r="Y34" s="51" t="str">
        <f t="shared" si="19"/>
        <v>-12</v>
      </c>
      <c r="Z34" s="51" t="str">
        <f t="shared" si="19"/>
        <v>-5</v>
      </c>
      <c r="AA34" s="51" t="str">
        <f t="shared" si="19"/>
        <v>-5</v>
      </c>
    </row>
    <row r="35" spans="1:27" ht="12" customHeight="1">
      <c r="A35" s="13" t="s">
        <v>494</v>
      </c>
      <c r="B35" s="15" t="s">
        <v>223</v>
      </c>
      <c r="C35" s="15" t="s">
        <v>142</v>
      </c>
      <c r="D35" s="39"/>
      <c r="E35" s="50">
        <v>10</v>
      </c>
      <c r="F35" s="50">
        <v>10</v>
      </c>
      <c r="G35" s="50">
        <v>16</v>
      </c>
      <c r="H35" s="50">
        <v>16</v>
      </c>
      <c r="I35" s="50">
        <v>16</v>
      </c>
      <c r="J35" s="50">
        <v>16</v>
      </c>
      <c r="K35" s="50">
        <v>16</v>
      </c>
      <c r="L35" s="50">
        <v>16</v>
      </c>
      <c r="M35" s="50">
        <v>16</v>
      </c>
      <c r="N35" s="50">
        <v>16</v>
      </c>
      <c r="O35" s="50">
        <v>16</v>
      </c>
      <c r="P35" s="50">
        <v>16</v>
      </c>
      <c r="Q35" s="50">
        <v>16</v>
      </c>
      <c r="R35" s="50">
        <v>16</v>
      </c>
      <c r="S35" s="50">
        <v>16</v>
      </c>
      <c r="T35" s="50">
        <v>118</v>
      </c>
      <c r="U35" s="50">
        <v>118</v>
      </c>
      <c r="V35" s="50">
        <v>90</v>
      </c>
      <c r="W35" s="50">
        <v>118</v>
      </c>
      <c r="X35" s="50">
        <v>80</v>
      </c>
      <c r="Y35" s="50">
        <v>80</v>
      </c>
      <c r="Z35" s="50">
        <v>80</v>
      </c>
      <c r="AA35" s="50">
        <v>80</v>
      </c>
    </row>
    <row r="36" spans="1:27" ht="12" customHeight="1">
      <c r="A36" s="13" t="s">
        <v>494</v>
      </c>
      <c r="B36" s="15" t="s">
        <v>223</v>
      </c>
      <c r="C36" s="15" t="s">
        <v>226</v>
      </c>
      <c r="D36" s="15" t="s">
        <v>587</v>
      </c>
      <c r="E36" s="15">
        <v>2</v>
      </c>
      <c r="F36" s="15">
        <v>2</v>
      </c>
      <c r="G36" s="15">
        <v>2</v>
      </c>
      <c r="H36" s="15">
        <v>2</v>
      </c>
      <c r="I36" s="15">
        <v>2</v>
      </c>
      <c r="J36" s="15">
        <v>2</v>
      </c>
      <c r="K36" s="15">
        <v>2</v>
      </c>
      <c r="L36" s="15">
        <v>2</v>
      </c>
      <c r="M36" s="15">
        <v>2</v>
      </c>
      <c r="N36" s="15">
        <v>2</v>
      </c>
      <c r="O36" s="15">
        <v>2</v>
      </c>
      <c r="P36" s="15">
        <v>2</v>
      </c>
      <c r="Q36" s="15">
        <v>2</v>
      </c>
      <c r="R36" s="15">
        <v>2</v>
      </c>
      <c r="S36" s="15">
        <v>2</v>
      </c>
      <c r="T36" s="15">
        <v>72</v>
      </c>
      <c r="U36" s="15">
        <v>72</v>
      </c>
      <c r="V36" s="15">
        <v>0</v>
      </c>
      <c r="W36" s="15">
        <v>72</v>
      </c>
      <c r="X36" s="15">
        <v>20</v>
      </c>
      <c r="Y36" s="15">
        <v>20</v>
      </c>
      <c r="Z36" s="15">
        <v>20</v>
      </c>
      <c r="AA36" s="15">
        <v>20</v>
      </c>
    </row>
    <row r="37" spans="1:27" ht="12" customHeight="1">
      <c r="A37" s="13" t="s">
        <v>494</v>
      </c>
      <c r="B37" s="15" t="s">
        <v>223</v>
      </c>
      <c r="C37" s="15" t="s">
        <v>42</v>
      </c>
      <c r="D37" s="15" t="s">
        <v>593</v>
      </c>
      <c r="E37" s="15">
        <v>2</v>
      </c>
      <c r="F37" s="15">
        <v>2</v>
      </c>
      <c r="G37" s="15">
        <v>2</v>
      </c>
      <c r="H37" s="15">
        <v>2</v>
      </c>
      <c r="I37" s="15">
        <v>2</v>
      </c>
      <c r="J37" s="15">
        <v>2</v>
      </c>
      <c r="K37" s="15">
        <v>2</v>
      </c>
      <c r="L37" s="15">
        <v>2</v>
      </c>
      <c r="M37" s="15">
        <v>2</v>
      </c>
      <c r="N37" s="15">
        <v>2</v>
      </c>
      <c r="O37" s="15">
        <v>2</v>
      </c>
      <c r="P37" s="15">
        <v>2</v>
      </c>
      <c r="Q37" s="15">
        <v>2</v>
      </c>
      <c r="R37" s="15">
        <v>2</v>
      </c>
      <c r="S37" s="15">
        <v>2</v>
      </c>
      <c r="T37" s="15">
        <v>10</v>
      </c>
      <c r="U37" s="15">
        <v>2</v>
      </c>
      <c r="V37" s="15">
        <v>20</v>
      </c>
      <c r="W37" s="15">
        <v>80</v>
      </c>
      <c r="X37" s="15">
        <v>80</v>
      </c>
      <c r="Y37" s="15">
        <v>80</v>
      </c>
      <c r="Z37" s="15">
        <v>80</v>
      </c>
      <c r="AA37" s="15">
        <v>80</v>
      </c>
    </row>
    <row r="38" spans="1:27" ht="12" customHeight="1">
      <c r="A38" s="13" t="s">
        <v>494</v>
      </c>
      <c r="B38" s="15" t="s">
        <v>223</v>
      </c>
      <c r="C38" s="13" t="s">
        <v>496</v>
      </c>
      <c r="E38" s="15">
        <v>12</v>
      </c>
      <c r="F38" s="15">
        <v>12</v>
      </c>
      <c r="G38" s="15">
        <v>8</v>
      </c>
      <c r="H38" s="15">
        <v>8</v>
      </c>
      <c r="I38" s="15">
        <v>8</v>
      </c>
      <c r="J38" s="15">
        <v>8</v>
      </c>
      <c r="K38" s="15">
        <v>8</v>
      </c>
      <c r="L38" s="15">
        <v>8</v>
      </c>
      <c r="M38" s="15">
        <v>8</v>
      </c>
      <c r="N38" s="15">
        <v>8</v>
      </c>
      <c r="O38" s="15">
        <v>8</v>
      </c>
      <c r="P38" s="15">
        <v>8</v>
      </c>
      <c r="Q38" s="15">
        <v>14</v>
      </c>
      <c r="R38" s="15">
        <v>14</v>
      </c>
      <c r="S38" s="15">
        <v>14</v>
      </c>
      <c r="T38" s="15">
        <v>110</v>
      </c>
      <c r="U38" s="15">
        <v>118</v>
      </c>
      <c r="V38" s="15">
        <v>90</v>
      </c>
      <c r="W38" s="15">
        <v>118</v>
      </c>
      <c r="X38" s="15">
        <v>0</v>
      </c>
      <c r="Y38" s="15">
        <v>0</v>
      </c>
      <c r="Z38" s="15">
        <v>0</v>
      </c>
      <c r="AA38" s="15">
        <v>0</v>
      </c>
    </row>
    <row r="39" spans="1:27" ht="12" customHeight="1">
      <c r="A39" s="13" t="s">
        <v>494</v>
      </c>
      <c r="B39" s="15" t="s">
        <v>223</v>
      </c>
      <c r="C39" s="15" t="s">
        <v>151</v>
      </c>
      <c r="D39" s="39"/>
      <c r="E39" s="50">
        <v>8</v>
      </c>
      <c r="F39" s="50">
        <v>15</v>
      </c>
      <c r="G39" s="50">
        <v>14</v>
      </c>
      <c r="H39" s="50">
        <v>14</v>
      </c>
      <c r="I39" s="50">
        <v>14</v>
      </c>
      <c r="J39" s="50">
        <v>14</v>
      </c>
      <c r="K39" s="50">
        <v>14</v>
      </c>
      <c r="L39" s="50">
        <v>0</v>
      </c>
      <c r="M39" s="50">
        <v>14</v>
      </c>
      <c r="N39" s="50">
        <v>14</v>
      </c>
      <c r="O39" s="50">
        <v>14</v>
      </c>
      <c r="P39" s="50">
        <v>14</v>
      </c>
      <c r="Q39" s="50">
        <v>0</v>
      </c>
      <c r="R39" s="50">
        <v>14</v>
      </c>
      <c r="S39" s="50">
        <v>10</v>
      </c>
      <c r="T39" s="50">
        <v>32</v>
      </c>
      <c r="U39" s="50">
        <v>32</v>
      </c>
      <c r="V39" s="50">
        <v>32</v>
      </c>
      <c r="W39" s="50">
        <v>12</v>
      </c>
      <c r="X39" s="50">
        <v>0</v>
      </c>
      <c r="Y39" s="50">
        <v>7</v>
      </c>
      <c r="Z39" s="50">
        <v>0</v>
      </c>
      <c r="AA39" s="50">
        <v>0</v>
      </c>
    </row>
    <row r="40" spans="1:27" ht="12" customHeight="1">
      <c r="A40" s="45" t="str">
        <f aca="true" t="shared" si="20" ref="A40:B40">A38</f>
        <v>dev</v>
      </c>
      <c r="B40" s="70" t="str">
        <f t="shared" si="20"/>
        <v>Offshore team</v>
      </c>
      <c r="C40" s="47" t="str">
        <f>"TOTAL Avail: "&amp;B40</f>
        <v>TOTAL Avail: Offshore team</v>
      </c>
      <c r="D40" s="49"/>
      <c r="E40" s="51" t="str">
        <f aca="true" t="shared" si="21" ref="E40:S40">SUM(E35:E38)</f>
        <v>26</v>
      </c>
      <c r="F40" s="51" t="str">
        <f t="shared" si="21"/>
        <v>26</v>
      </c>
      <c r="G40" s="51" t="str">
        <f t="shared" si="21"/>
        <v>28</v>
      </c>
      <c r="H40" s="51" t="str">
        <f t="shared" si="21"/>
        <v>28</v>
      </c>
      <c r="I40" s="51" t="str">
        <f t="shared" si="21"/>
        <v>28</v>
      </c>
      <c r="J40" s="51" t="str">
        <f t="shared" si="21"/>
        <v>28</v>
      </c>
      <c r="K40" s="51" t="str">
        <f t="shared" si="21"/>
        <v>28</v>
      </c>
      <c r="L40" s="51" t="str">
        <f t="shared" si="21"/>
        <v>28</v>
      </c>
      <c r="M40" s="51" t="str">
        <f t="shared" si="21"/>
        <v>28</v>
      </c>
      <c r="N40" s="51" t="str">
        <f t="shared" si="21"/>
        <v>28</v>
      </c>
      <c r="O40" s="51" t="str">
        <f t="shared" si="21"/>
        <v>28</v>
      </c>
      <c r="P40" s="51" t="str">
        <f t="shared" si="21"/>
        <v>28</v>
      </c>
      <c r="Q40" s="51" t="str">
        <f t="shared" si="21"/>
        <v>34</v>
      </c>
      <c r="R40" s="51" t="str">
        <f t="shared" si="21"/>
        <v>34</v>
      </c>
      <c r="S40" s="51" t="str">
        <f t="shared" si="21"/>
        <v>34</v>
      </c>
      <c r="T40" s="51" t="str">
        <f aca="true" t="shared" si="22" ref="T40:W40">320-SUM(T35:T38)</f>
        <v>10</v>
      </c>
      <c r="U40" s="51" t="str">
        <f t="shared" si="22"/>
        <v>10</v>
      </c>
      <c r="V40" s="51" t="str">
        <f t="shared" si="22"/>
        <v>120</v>
      </c>
      <c r="W40" s="51" t="str">
        <f t="shared" si="22"/>
        <v>-68</v>
      </c>
      <c r="X40" s="51" t="str">
        <f aca="true" t="shared" si="23" ref="X40:AA40">320-SUM(X35:X39)</f>
        <v>140</v>
      </c>
      <c r="Y40" s="51" t="str">
        <f t="shared" si="23"/>
        <v>133</v>
      </c>
      <c r="Z40" s="51" t="str">
        <f t="shared" si="23"/>
        <v>140</v>
      </c>
      <c r="AA40" s="51" t="str">
        <f t="shared" si="23"/>
        <v>140</v>
      </c>
    </row>
    <row r="41" spans="1:27" ht="12" customHeight="1">
      <c r="A41" s="13" t="s">
        <v>494</v>
      </c>
      <c r="B41" s="15" t="s">
        <v>48</v>
      </c>
      <c r="C41" s="15" t="s">
        <v>142</v>
      </c>
      <c r="D41" s="39"/>
      <c r="E41" s="50">
        <v>8</v>
      </c>
      <c r="F41" s="50">
        <v>8</v>
      </c>
      <c r="G41" s="50">
        <v>8</v>
      </c>
      <c r="H41" s="50">
        <v>8</v>
      </c>
      <c r="I41" s="50">
        <v>8</v>
      </c>
      <c r="J41" s="50">
        <v>8</v>
      </c>
      <c r="K41" s="50">
        <v>8</v>
      </c>
      <c r="L41" s="50">
        <v>0</v>
      </c>
      <c r="M41" s="50">
        <v>8</v>
      </c>
      <c r="N41" s="50">
        <v>8</v>
      </c>
      <c r="O41" s="50">
        <v>8</v>
      </c>
      <c r="P41" s="50">
        <v>16</v>
      </c>
      <c r="Q41" s="50">
        <v>6</v>
      </c>
      <c r="R41" s="50">
        <v>16</v>
      </c>
      <c r="S41" s="50">
        <v>16</v>
      </c>
      <c r="T41" s="50">
        <v>0</v>
      </c>
      <c r="U41" s="50">
        <v>0</v>
      </c>
      <c r="V41" s="50">
        <v>0</v>
      </c>
      <c r="W41" s="50">
        <v>0</v>
      </c>
      <c r="X41" s="50">
        <v>0</v>
      </c>
      <c r="Y41" s="50">
        <v>0</v>
      </c>
      <c r="Z41" s="50">
        <v>0</v>
      </c>
      <c r="AA41" s="50">
        <v>0</v>
      </c>
    </row>
    <row r="42" spans="1:27" ht="12" customHeight="1">
      <c r="A42" s="13" t="s">
        <v>494</v>
      </c>
      <c r="B42" s="15" t="s">
        <v>48</v>
      </c>
      <c r="C42" s="15" t="s">
        <v>537</v>
      </c>
      <c r="D42" s="15" t="s">
        <v>601</v>
      </c>
      <c r="E42" s="50">
        <v>8</v>
      </c>
      <c r="F42" s="50">
        <v>8</v>
      </c>
      <c r="G42" s="50">
        <v>12</v>
      </c>
      <c r="H42" s="50">
        <v>12</v>
      </c>
      <c r="I42" s="50">
        <v>12</v>
      </c>
      <c r="J42" s="50">
        <v>12</v>
      </c>
      <c r="K42" s="50">
        <v>16</v>
      </c>
      <c r="L42" s="50">
        <v>0</v>
      </c>
      <c r="M42" s="50">
        <v>12</v>
      </c>
      <c r="N42" s="50">
        <v>12</v>
      </c>
      <c r="O42" s="50">
        <v>12</v>
      </c>
      <c r="P42" s="50">
        <v>4</v>
      </c>
      <c r="Q42" s="50">
        <v>4</v>
      </c>
      <c r="R42" s="50">
        <v>4</v>
      </c>
      <c r="S42" s="50">
        <v>4</v>
      </c>
      <c r="T42" s="50">
        <v>0</v>
      </c>
      <c r="U42" s="50">
        <v>0</v>
      </c>
      <c r="V42" s="50">
        <v>0</v>
      </c>
      <c r="W42" s="50">
        <v>0</v>
      </c>
      <c r="X42" s="50">
        <v>0</v>
      </c>
      <c r="Y42" s="50">
        <v>0</v>
      </c>
      <c r="Z42" s="50">
        <v>0</v>
      </c>
      <c r="AA42" s="50">
        <v>0</v>
      </c>
    </row>
    <row r="43" spans="1:27" ht="12" customHeight="1">
      <c r="A43" s="13" t="s">
        <v>494</v>
      </c>
      <c r="B43" s="15" t="s">
        <v>48</v>
      </c>
      <c r="C43" s="13" t="s">
        <v>602</v>
      </c>
      <c r="D43" s="13" t="s">
        <v>603</v>
      </c>
      <c r="E43" s="39"/>
      <c r="F43" s="39"/>
      <c r="G43" s="39"/>
      <c r="H43" s="39"/>
      <c r="I43" s="39"/>
      <c r="J43" s="39"/>
      <c r="K43" s="39"/>
      <c r="L43" s="39"/>
      <c r="M43" s="39"/>
      <c r="N43" s="39"/>
      <c r="O43" s="39"/>
      <c r="P43" s="15">
        <v>5</v>
      </c>
      <c r="Q43" s="15">
        <v>20</v>
      </c>
      <c r="R43" s="15">
        <v>0</v>
      </c>
      <c r="S43" s="15">
        <v>0</v>
      </c>
      <c r="T43" s="15">
        <v>0</v>
      </c>
      <c r="U43" s="15">
        <v>0</v>
      </c>
      <c r="V43" s="15">
        <v>0</v>
      </c>
      <c r="W43" s="15">
        <v>0</v>
      </c>
      <c r="X43" s="15">
        <v>0</v>
      </c>
      <c r="Y43" s="15">
        <v>0</v>
      </c>
      <c r="Z43" s="15">
        <v>0</v>
      </c>
      <c r="AA43" s="15">
        <v>0</v>
      </c>
    </row>
    <row r="44" spans="1:27" ht="12" customHeight="1">
      <c r="A44" s="13" t="s">
        <v>494</v>
      </c>
      <c r="B44" s="15" t="s">
        <v>48</v>
      </c>
      <c r="C44" s="13" t="s">
        <v>512</v>
      </c>
      <c r="D44" s="13" t="s">
        <v>604</v>
      </c>
      <c r="E44" s="15">
        <v>5</v>
      </c>
      <c r="F44" s="15">
        <v>5</v>
      </c>
      <c r="G44" s="15">
        <v>5</v>
      </c>
      <c r="H44" s="15">
        <v>5</v>
      </c>
      <c r="I44" s="15">
        <v>5</v>
      </c>
      <c r="J44" s="15">
        <v>10</v>
      </c>
      <c r="K44" s="15">
        <v>10</v>
      </c>
      <c r="L44" s="15">
        <v>10</v>
      </c>
      <c r="M44" s="15">
        <v>10</v>
      </c>
      <c r="N44" s="15">
        <v>10</v>
      </c>
      <c r="O44" s="15">
        <v>10</v>
      </c>
      <c r="P44" s="15">
        <v>8</v>
      </c>
      <c r="Q44" s="15">
        <v>5</v>
      </c>
      <c r="R44" s="15">
        <v>10</v>
      </c>
      <c r="S44" s="15">
        <v>1</v>
      </c>
      <c r="T44" s="15">
        <v>0</v>
      </c>
      <c r="U44" s="15">
        <v>0</v>
      </c>
      <c r="V44" s="15">
        <v>0</v>
      </c>
      <c r="W44" s="15">
        <v>0</v>
      </c>
      <c r="X44" s="15">
        <v>0</v>
      </c>
      <c r="Y44" s="15">
        <v>0</v>
      </c>
      <c r="Z44" s="15">
        <v>0</v>
      </c>
      <c r="AA44" s="15">
        <v>0</v>
      </c>
    </row>
    <row r="45" spans="1:27" ht="12" customHeight="1">
      <c r="A45" s="13" t="s">
        <v>494</v>
      </c>
      <c r="B45" s="15" t="s">
        <v>48</v>
      </c>
      <c r="C45" s="15" t="s">
        <v>42</v>
      </c>
      <c r="D45" s="15" t="s">
        <v>554</v>
      </c>
      <c r="E45" s="50">
        <v>8</v>
      </c>
      <c r="F45" s="50">
        <v>15</v>
      </c>
      <c r="G45" s="50">
        <v>14</v>
      </c>
      <c r="H45" s="50">
        <v>14</v>
      </c>
      <c r="I45" s="50">
        <v>14</v>
      </c>
      <c r="J45" s="50">
        <v>14</v>
      </c>
      <c r="K45" s="50">
        <v>14</v>
      </c>
      <c r="L45" s="50">
        <v>0</v>
      </c>
      <c r="M45" s="50">
        <v>5</v>
      </c>
      <c r="N45" s="50">
        <v>5</v>
      </c>
      <c r="O45" s="50">
        <v>5</v>
      </c>
      <c r="P45" s="50">
        <v>5</v>
      </c>
      <c r="Q45" s="50">
        <v>5</v>
      </c>
      <c r="R45" s="50">
        <v>5</v>
      </c>
      <c r="S45" s="50">
        <v>6</v>
      </c>
      <c r="T45" s="50">
        <v>0</v>
      </c>
      <c r="U45" s="50">
        <v>0</v>
      </c>
      <c r="V45" s="50">
        <v>0</v>
      </c>
      <c r="W45" s="50">
        <v>0</v>
      </c>
      <c r="X45" s="50">
        <v>2</v>
      </c>
      <c r="Y45" s="50">
        <v>2</v>
      </c>
      <c r="Z45" s="50">
        <v>2</v>
      </c>
      <c r="AA45" s="50">
        <v>2</v>
      </c>
    </row>
    <row r="46" spans="1:27" ht="12" customHeight="1">
      <c r="A46" s="13" t="s">
        <v>494</v>
      </c>
      <c r="B46" s="15" t="s">
        <v>48</v>
      </c>
      <c r="C46" s="15" t="s">
        <v>510</v>
      </c>
      <c r="D46" s="39"/>
      <c r="E46" s="50">
        <v>8</v>
      </c>
      <c r="F46" s="50">
        <v>15</v>
      </c>
      <c r="G46" s="50">
        <v>14</v>
      </c>
      <c r="H46" s="50">
        <v>14</v>
      </c>
      <c r="I46" s="50">
        <v>14</v>
      </c>
      <c r="J46" s="50">
        <v>14</v>
      </c>
      <c r="K46" s="50">
        <v>14</v>
      </c>
      <c r="L46" s="50">
        <v>0</v>
      </c>
      <c r="M46" s="50">
        <v>5</v>
      </c>
      <c r="N46" s="50">
        <v>5</v>
      </c>
      <c r="O46" s="50">
        <v>5</v>
      </c>
      <c r="P46" s="50">
        <v>2</v>
      </c>
      <c r="Q46" s="50">
        <v>2</v>
      </c>
      <c r="R46" s="50">
        <v>2</v>
      </c>
      <c r="S46" s="50">
        <v>2</v>
      </c>
      <c r="T46" s="50">
        <v>0</v>
      </c>
      <c r="U46" s="50">
        <v>0</v>
      </c>
      <c r="V46" s="50">
        <v>0</v>
      </c>
      <c r="W46" s="50">
        <v>0</v>
      </c>
      <c r="X46" s="50">
        <v>0</v>
      </c>
      <c r="Y46" s="50">
        <v>0</v>
      </c>
      <c r="Z46" s="50">
        <v>0</v>
      </c>
      <c r="AA46" s="50">
        <v>0</v>
      </c>
    </row>
    <row r="47" spans="1:27" ht="12" customHeight="1">
      <c r="A47" s="13" t="s">
        <v>494</v>
      </c>
      <c r="B47" s="15" t="s">
        <v>48</v>
      </c>
      <c r="C47" s="15" t="s">
        <v>605</v>
      </c>
      <c r="D47" s="15" t="s">
        <v>606</v>
      </c>
      <c r="E47" s="141"/>
      <c r="F47" s="141"/>
      <c r="G47" s="141"/>
      <c r="H47" s="141"/>
      <c r="I47" s="141"/>
      <c r="J47" s="141"/>
      <c r="K47" s="141"/>
      <c r="L47" s="141"/>
      <c r="M47" s="141"/>
      <c r="N47" s="141"/>
      <c r="O47" s="141"/>
      <c r="P47" s="141"/>
      <c r="Q47" s="141"/>
      <c r="R47" s="141"/>
      <c r="S47" s="141"/>
      <c r="T47" s="141"/>
      <c r="U47" s="141"/>
      <c r="V47" s="141"/>
      <c r="W47" s="141"/>
      <c r="X47" s="50">
        <v>1</v>
      </c>
      <c r="Y47" s="50">
        <v>0</v>
      </c>
      <c r="Z47" s="50">
        <v>0</v>
      </c>
      <c r="AA47" s="50">
        <v>0</v>
      </c>
    </row>
    <row r="48" spans="1:27" ht="12" customHeight="1">
      <c r="A48" s="13" t="s">
        <v>494</v>
      </c>
      <c r="B48" s="15" t="s">
        <v>48</v>
      </c>
      <c r="C48" s="15" t="s">
        <v>607</v>
      </c>
      <c r="D48" s="15" t="s">
        <v>606</v>
      </c>
      <c r="E48" s="141"/>
      <c r="F48" s="141"/>
      <c r="G48" s="141"/>
      <c r="H48" s="141"/>
      <c r="I48" s="141"/>
      <c r="J48" s="141"/>
      <c r="K48" s="141"/>
      <c r="L48" s="141"/>
      <c r="M48" s="141"/>
      <c r="N48" s="141"/>
      <c r="O48" s="141"/>
      <c r="P48" s="141"/>
      <c r="Q48" s="141"/>
      <c r="R48" s="141"/>
      <c r="S48" s="141"/>
      <c r="T48" s="141"/>
      <c r="U48" s="141"/>
      <c r="V48" s="141"/>
      <c r="W48" s="141"/>
      <c r="X48" s="50">
        <v>1</v>
      </c>
      <c r="Y48" s="50">
        <v>0</v>
      </c>
      <c r="Z48" s="50">
        <v>0</v>
      </c>
      <c r="AA48" s="50">
        <v>0</v>
      </c>
    </row>
    <row r="49" spans="1:27" ht="12" customHeight="1">
      <c r="A49" s="13" t="s">
        <v>494</v>
      </c>
      <c r="B49" s="15" t="s">
        <v>48</v>
      </c>
      <c r="C49" s="15" t="s">
        <v>609</v>
      </c>
      <c r="D49" s="15" t="s">
        <v>610</v>
      </c>
      <c r="E49" s="141"/>
      <c r="F49" s="141"/>
      <c r="G49" s="141"/>
      <c r="H49" s="141"/>
      <c r="I49" s="141"/>
      <c r="J49" s="141"/>
      <c r="K49" s="141"/>
      <c r="L49" s="141"/>
      <c r="M49" s="141"/>
      <c r="N49" s="141"/>
      <c r="O49" s="141"/>
      <c r="P49" s="141"/>
      <c r="Q49" s="141"/>
      <c r="R49" s="141"/>
      <c r="S49" s="141"/>
      <c r="T49" s="141"/>
      <c r="U49" s="141"/>
      <c r="V49" s="141"/>
      <c r="W49" s="141"/>
      <c r="X49" s="50">
        <v>3</v>
      </c>
      <c r="Y49" s="50">
        <v>0</v>
      </c>
      <c r="Z49" s="50">
        <v>0</v>
      </c>
      <c r="AA49" s="50">
        <v>0</v>
      </c>
    </row>
    <row r="50" spans="1:27" ht="12" customHeight="1">
      <c r="A50" s="13" t="s">
        <v>494</v>
      </c>
      <c r="B50" s="15" t="s">
        <v>48</v>
      </c>
      <c r="C50" s="15" t="s">
        <v>609</v>
      </c>
      <c r="D50" s="15" t="s">
        <v>606</v>
      </c>
      <c r="E50" s="141"/>
      <c r="F50" s="141"/>
      <c r="G50" s="141"/>
      <c r="H50" s="141"/>
      <c r="I50" s="141"/>
      <c r="J50" s="141"/>
      <c r="K50" s="141"/>
      <c r="L50" s="141"/>
      <c r="M50" s="141"/>
      <c r="N50" s="141"/>
      <c r="O50" s="141"/>
      <c r="P50" s="141"/>
      <c r="Q50" s="141"/>
      <c r="R50" s="141"/>
      <c r="S50" s="141"/>
      <c r="T50" s="141"/>
      <c r="U50" s="141"/>
      <c r="V50" s="141"/>
      <c r="W50" s="141"/>
      <c r="X50" s="50">
        <v>0</v>
      </c>
      <c r="Y50" s="50">
        <v>1</v>
      </c>
      <c r="Z50" s="50">
        <v>0</v>
      </c>
      <c r="AA50" s="50">
        <v>0</v>
      </c>
    </row>
    <row r="51" spans="1:27" ht="12" customHeight="1">
      <c r="A51" s="13" t="s">
        <v>494</v>
      </c>
      <c r="B51" s="15" t="s">
        <v>48</v>
      </c>
      <c r="C51" s="15" t="s">
        <v>611</v>
      </c>
      <c r="D51" s="15" t="s">
        <v>612</v>
      </c>
      <c r="E51" s="50">
        <v>4</v>
      </c>
      <c r="F51" s="50">
        <v>1</v>
      </c>
      <c r="G51" s="50">
        <v>1</v>
      </c>
      <c r="H51" s="50">
        <v>1</v>
      </c>
      <c r="I51" s="50">
        <v>1</v>
      </c>
      <c r="J51" s="50">
        <v>1</v>
      </c>
      <c r="K51" s="50">
        <v>0</v>
      </c>
      <c r="L51" s="50">
        <v>0</v>
      </c>
      <c r="M51" s="50">
        <v>0</v>
      </c>
      <c r="N51" s="50">
        <v>0</v>
      </c>
      <c r="O51" s="50">
        <v>5</v>
      </c>
      <c r="P51" s="50">
        <v>2</v>
      </c>
      <c r="Q51" s="50">
        <v>0</v>
      </c>
      <c r="R51" s="50">
        <v>0</v>
      </c>
      <c r="S51" s="50">
        <v>0</v>
      </c>
      <c r="T51" s="50">
        <v>0</v>
      </c>
      <c r="U51" s="50">
        <v>0</v>
      </c>
      <c r="V51" s="50">
        <v>0</v>
      </c>
      <c r="W51" s="50">
        <v>0</v>
      </c>
      <c r="X51" s="50">
        <v>0</v>
      </c>
      <c r="Y51" s="50">
        <v>0</v>
      </c>
      <c r="Z51" s="50">
        <v>0</v>
      </c>
      <c r="AA51" s="50">
        <v>0</v>
      </c>
    </row>
    <row r="52" spans="1:27" ht="12" customHeight="1">
      <c r="A52" s="13" t="s">
        <v>494</v>
      </c>
      <c r="B52" s="15" t="s">
        <v>48</v>
      </c>
      <c r="C52" s="15" t="s">
        <v>151</v>
      </c>
      <c r="D52" s="39"/>
      <c r="E52" s="50">
        <v>8</v>
      </c>
      <c r="F52" s="50">
        <v>15</v>
      </c>
      <c r="G52" s="50">
        <v>14</v>
      </c>
      <c r="H52" s="50">
        <v>14</v>
      </c>
      <c r="I52" s="50">
        <v>14</v>
      </c>
      <c r="J52" s="50">
        <v>14</v>
      </c>
      <c r="K52" s="50">
        <v>14</v>
      </c>
      <c r="L52" s="50">
        <v>0</v>
      </c>
      <c r="M52" s="50">
        <v>14</v>
      </c>
      <c r="N52" s="50">
        <v>14</v>
      </c>
      <c r="O52" s="50">
        <v>14</v>
      </c>
      <c r="P52" s="50">
        <v>14</v>
      </c>
      <c r="Q52" s="50">
        <v>0</v>
      </c>
      <c r="R52" s="50">
        <v>14</v>
      </c>
      <c r="S52" s="50">
        <v>10</v>
      </c>
      <c r="T52" s="50">
        <v>32</v>
      </c>
      <c r="U52" s="50">
        <v>32</v>
      </c>
      <c r="V52" s="50">
        <v>32</v>
      </c>
      <c r="W52" s="50">
        <v>12</v>
      </c>
      <c r="X52" s="50">
        <v>0</v>
      </c>
      <c r="Y52" s="50">
        <v>7</v>
      </c>
      <c r="Z52" s="50">
        <v>0</v>
      </c>
      <c r="AA52" s="50">
        <v>0</v>
      </c>
    </row>
    <row r="53" spans="1:27" ht="12.75">
      <c r="A53" s="45" t="str">
        <f aca="true" t="shared" si="24" ref="A53:B53">A51</f>
        <v>dev</v>
      </c>
      <c r="B53" s="70" t="str">
        <f t="shared" si="24"/>
        <v>PMcElroy</v>
      </c>
      <c r="C53" s="47" t="str">
        <f>"TOTAL Avail: "&amp;B53</f>
        <v>TOTAL Avail: PMcElroy</v>
      </c>
      <c r="D53" s="49"/>
      <c r="E53" s="51" t="str">
        <f aca="true" t="shared" si="25" ref="E53:S53">SUM(E41:E51)</f>
        <v>41</v>
      </c>
      <c r="F53" s="51" t="str">
        <f t="shared" si="25"/>
        <v>52</v>
      </c>
      <c r="G53" s="51" t="str">
        <f t="shared" si="25"/>
        <v>54</v>
      </c>
      <c r="H53" s="51" t="str">
        <f t="shared" si="25"/>
        <v>54</v>
      </c>
      <c r="I53" s="51" t="str">
        <f t="shared" si="25"/>
        <v>54</v>
      </c>
      <c r="J53" s="51" t="str">
        <f t="shared" si="25"/>
        <v>59</v>
      </c>
      <c r="K53" s="51" t="str">
        <f t="shared" si="25"/>
        <v>62</v>
      </c>
      <c r="L53" s="51" t="str">
        <f t="shared" si="25"/>
        <v>10</v>
      </c>
      <c r="M53" s="51" t="str">
        <f t="shared" si="25"/>
        <v>40</v>
      </c>
      <c r="N53" s="51" t="str">
        <f t="shared" si="25"/>
        <v>40</v>
      </c>
      <c r="O53" s="51" t="str">
        <f t="shared" si="25"/>
        <v>45</v>
      </c>
      <c r="P53" s="51" t="str">
        <f t="shared" si="25"/>
        <v>42</v>
      </c>
      <c r="Q53" s="51" t="str">
        <f t="shared" si="25"/>
        <v>42</v>
      </c>
      <c r="R53" s="51" t="str">
        <f t="shared" si="25"/>
        <v>37</v>
      </c>
      <c r="S53" s="51" t="str">
        <f t="shared" si="25"/>
        <v>29</v>
      </c>
      <c r="T53" s="51" t="str">
        <f aca="true" t="shared" si="26" ref="T53:W53">32-SUM(T41:T51)</f>
        <v>32</v>
      </c>
      <c r="U53" s="51" t="str">
        <f t="shared" si="26"/>
        <v>32</v>
      </c>
      <c r="V53" s="51" t="str">
        <f t="shared" si="26"/>
        <v>32</v>
      </c>
      <c r="W53" s="51" t="str">
        <f t="shared" si="26"/>
        <v>32</v>
      </c>
      <c r="X53" s="51" t="str">
        <f aca="true" t="shared" si="27" ref="X53:AA53">32-SUM(X41:X52)</f>
        <v>25</v>
      </c>
      <c r="Y53" s="51" t="str">
        <f t="shared" si="27"/>
        <v>22</v>
      </c>
      <c r="Z53" s="51" t="str">
        <f t="shared" si="27"/>
        <v>30</v>
      </c>
      <c r="AA53" s="51" t="str">
        <f t="shared" si="27"/>
        <v>30</v>
      </c>
    </row>
    <row r="54" spans="1:27" ht="12" customHeight="1">
      <c r="A54" s="13" t="s">
        <v>588</v>
      </c>
      <c r="B54" s="13" t="s">
        <v>70</v>
      </c>
      <c r="C54" s="13" t="s">
        <v>605</v>
      </c>
      <c r="E54" s="15">
        <v>10</v>
      </c>
      <c r="F54" s="15">
        <v>14</v>
      </c>
      <c r="G54" s="15">
        <v>8</v>
      </c>
      <c r="H54" s="15">
        <v>2</v>
      </c>
      <c r="I54" s="15">
        <v>2</v>
      </c>
      <c r="J54" s="15">
        <v>22</v>
      </c>
      <c r="K54" s="15">
        <v>22</v>
      </c>
      <c r="L54" s="15">
        <v>0</v>
      </c>
      <c r="M54" s="15">
        <v>28</v>
      </c>
      <c r="N54" s="15">
        <v>20</v>
      </c>
      <c r="O54" s="15">
        <v>24</v>
      </c>
      <c r="P54" s="15">
        <v>24</v>
      </c>
      <c r="Q54" s="15">
        <v>24</v>
      </c>
      <c r="R54" s="15">
        <v>24</v>
      </c>
      <c r="S54" s="15">
        <v>4</v>
      </c>
      <c r="T54" s="15">
        <v>4</v>
      </c>
      <c r="U54" s="15">
        <v>8</v>
      </c>
      <c r="V54" s="15">
        <v>4</v>
      </c>
      <c r="W54" s="15">
        <v>2</v>
      </c>
      <c r="X54" s="15">
        <v>3</v>
      </c>
      <c r="Y54" s="15">
        <v>0</v>
      </c>
      <c r="Z54" s="15">
        <v>0</v>
      </c>
      <c r="AA54" s="15">
        <v>0</v>
      </c>
    </row>
    <row r="55" spans="1:27" ht="12" customHeight="1">
      <c r="A55" s="13" t="s">
        <v>588</v>
      </c>
      <c r="B55" s="13" t="s">
        <v>70</v>
      </c>
      <c r="C55" s="13" t="s">
        <v>607</v>
      </c>
      <c r="E55" s="15">
        <v>10</v>
      </c>
      <c r="F55" s="15">
        <v>14</v>
      </c>
      <c r="G55" s="15">
        <v>8</v>
      </c>
      <c r="H55" s="15">
        <v>2</v>
      </c>
      <c r="I55" s="15">
        <v>2</v>
      </c>
      <c r="J55" s="15">
        <v>22</v>
      </c>
      <c r="K55" s="15">
        <v>22</v>
      </c>
      <c r="L55" s="15">
        <v>0</v>
      </c>
      <c r="M55" s="15">
        <v>28</v>
      </c>
      <c r="N55" s="15">
        <v>20</v>
      </c>
      <c r="O55" s="15">
        <v>24</v>
      </c>
      <c r="P55" s="15">
        <v>24</v>
      </c>
      <c r="Q55" s="15">
        <v>24</v>
      </c>
      <c r="R55" s="15">
        <v>24</v>
      </c>
      <c r="S55" s="15">
        <v>4</v>
      </c>
      <c r="T55" s="15">
        <v>4</v>
      </c>
      <c r="U55" s="15">
        <v>8</v>
      </c>
      <c r="V55" s="15">
        <v>4</v>
      </c>
      <c r="W55" s="15">
        <v>2</v>
      </c>
      <c r="X55" s="15">
        <v>3</v>
      </c>
      <c r="Y55" s="15">
        <v>0</v>
      </c>
      <c r="Z55" s="15">
        <v>0</v>
      </c>
      <c r="AA55" s="15">
        <v>0</v>
      </c>
    </row>
    <row r="56" spans="1:27" ht="12" customHeight="1">
      <c r="A56" s="13" t="s">
        <v>588</v>
      </c>
      <c r="B56" s="13" t="s">
        <v>70</v>
      </c>
      <c r="C56" s="13" t="s">
        <v>616</v>
      </c>
      <c r="E56" s="39"/>
      <c r="F56" s="39"/>
      <c r="G56" s="39"/>
      <c r="H56" s="39"/>
      <c r="I56" s="39"/>
      <c r="J56" s="39"/>
      <c r="K56" s="39"/>
      <c r="L56" s="39"/>
      <c r="M56" s="39"/>
      <c r="N56" s="15">
        <v>20</v>
      </c>
      <c r="O56" s="15">
        <v>16</v>
      </c>
      <c r="P56" s="15">
        <v>0</v>
      </c>
      <c r="Q56" s="15">
        <v>10</v>
      </c>
      <c r="R56" s="15">
        <v>10</v>
      </c>
      <c r="S56" s="15">
        <v>10</v>
      </c>
      <c r="T56" s="15">
        <v>10</v>
      </c>
      <c r="U56" s="15">
        <v>5</v>
      </c>
      <c r="V56" s="15">
        <v>2</v>
      </c>
      <c r="W56" s="15">
        <v>10</v>
      </c>
      <c r="X56" s="15">
        <v>10</v>
      </c>
      <c r="Y56" s="15">
        <v>10</v>
      </c>
      <c r="Z56" s="15">
        <v>10</v>
      </c>
      <c r="AA56" s="15">
        <v>0</v>
      </c>
    </row>
    <row r="57" spans="1:27" ht="12" customHeight="1">
      <c r="A57" s="13" t="s">
        <v>588</v>
      </c>
      <c r="B57" s="13" t="s">
        <v>70</v>
      </c>
      <c r="C57" s="13" t="s">
        <v>167</v>
      </c>
      <c r="D57" s="13" t="s">
        <v>617</v>
      </c>
      <c r="E57" s="15">
        <v>10</v>
      </c>
      <c r="F57" s="15">
        <v>20</v>
      </c>
      <c r="G57" s="15">
        <v>20</v>
      </c>
      <c r="H57" s="15">
        <v>20</v>
      </c>
      <c r="I57" s="15">
        <v>20</v>
      </c>
      <c r="J57" s="15">
        <v>8</v>
      </c>
      <c r="K57" s="15">
        <v>8</v>
      </c>
      <c r="L57" s="15">
        <v>0</v>
      </c>
      <c r="M57" s="15">
        <v>0</v>
      </c>
      <c r="N57" s="15">
        <v>0</v>
      </c>
      <c r="O57" s="15">
        <v>2</v>
      </c>
      <c r="P57" s="15">
        <v>10</v>
      </c>
      <c r="Q57" s="15">
        <v>10</v>
      </c>
      <c r="R57" s="15">
        <v>10</v>
      </c>
      <c r="S57" s="15">
        <v>10</v>
      </c>
      <c r="T57" s="15">
        <v>10</v>
      </c>
      <c r="U57" s="15">
        <v>10</v>
      </c>
      <c r="V57" s="15">
        <v>10</v>
      </c>
      <c r="W57" s="15">
        <v>10</v>
      </c>
      <c r="X57" s="15">
        <v>10</v>
      </c>
      <c r="Y57" s="15">
        <v>10</v>
      </c>
      <c r="Z57" s="15">
        <v>10</v>
      </c>
      <c r="AA57" s="15">
        <v>10</v>
      </c>
    </row>
    <row r="58" spans="1:27" ht="12" customHeight="1">
      <c r="A58" s="13" t="s">
        <v>588</v>
      </c>
      <c r="B58" s="13" t="s">
        <v>70</v>
      </c>
      <c r="C58" s="15" t="s">
        <v>151</v>
      </c>
      <c r="D58" s="39"/>
      <c r="E58" s="50">
        <v>8</v>
      </c>
      <c r="F58" s="50">
        <v>15</v>
      </c>
      <c r="G58" s="50">
        <v>14</v>
      </c>
      <c r="H58" s="50">
        <v>14</v>
      </c>
      <c r="I58" s="50">
        <v>14</v>
      </c>
      <c r="J58" s="50">
        <v>14</v>
      </c>
      <c r="K58" s="50">
        <v>14</v>
      </c>
      <c r="L58" s="50">
        <v>0</v>
      </c>
      <c r="M58" s="50">
        <v>14</v>
      </c>
      <c r="N58" s="50">
        <v>14</v>
      </c>
      <c r="O58" s="50">
        <v>14</v>
      </c>
      <c r="P58" s="50">
        <v>14</v>
      </c>
      <c r="Q58" s="50">
        <v>0</v>
      </c>
      <c r="R58" s="50">
        <v>14</v>
      </c>
      <c r="S58" s="50">
        <v>10</v>
      </c>
      <c r="T58" s="50">
        <v>32</v>
      </c>
      <c r="U58" s="50">
        <v>32</v>
      </c>
      <c r="V58" s="50">
        <v>32</v>
      </c>
      <c r="W58" s="50">
        <v>12</v>
      </c>
      <c r="X58" s="50">
        <v>7</v>
      </c>
      <c r="Y58" s="50">
        <v>7</v>
      </c>
      <c r="Z58" s="50">
        <v>0</v>
      </c>
      <c r="AA58" s="50">
        <v>0</v>
      </c>
    </row>
    <row r="59" spans="1:27" ht="12" customHeight="1">
      <c r="A59" s="45" t="str">
        <f>A57</f>
        <v>ops</v>
      </c>
      <c r="B59" s="3" t="s">
        <v>70</v>
      </c>
      <c r="C59" s="47" t="str">
        <f>"TOTAL Avail: "&amp;B59</f>
        <v>TOTAL Avail: KBaltus</v>
      </c>
      <c r="D59" s="49"/>
      <c r="E59" s="51" t="str">
        <f aca="true" t="shared" si="28" ref="E59:S59">SUM(E54:E57)</f>
        <v>30</v>
      </c>
      <c r="F59" s="51" t="str">
        <f t="shared" si="28"/>
        <v>48</v>
      </c>
      <c r="G59" s="51" t="str">
        <f t="shared" si="28"/>
        <v>36</v>
      </c>
      <c r="H59" s="51" t="str">
        <f t="shared" si="28"/>
        <v>24</v>
      </c>
      <c r="I59" s="51" t="str">
        <f t="shared" si="28"/>
        <v>24</v>
      </c>
      <c r="J59" s="51" t="str">
        <f t="shared" si="28"/>
        <v>52</v>
      </c>
      <c r="K59" s="51" t="str">
        <f t="shared" si="28"/>
        <v>52</v>
      </c>
      <c r="L59" s="51" t="str">
        <f t="shared" si="28"/>
        <v>0</v>
      </c>
      <c r="M59" s="51" t="str">
        <f t="shared" si="28"/>
        <v>56</v>
      </c>
      <c r="N59" s="51" t="str">
        <f t="shared" si="28"/>
        <v>60</v>
      </c>
      <c r="O59" s="51" t="str">
        <f t="shared" si="28"/>
        <v>66</v>
      </c>
      <c r="P59" s="51" t="str">
        <f t="shared" si="28"/>
        <v>58</v>
      </c>
      <c r="Q59" s="51" t="str">
        <f t="shared" si="28"/>
        <v>68</v>
      </c>
      <c r="R59" s="51" t="str">
        <f t="shared" si="28"/>
        <v>68</v>
      </c>
      <c r="S59" s="51" t="str">
        <f t="shared" si="28"/>
        <v>28</v>
      </c>
      <c r="T59" s="51" t="str">
        <f aca="true" t="shared" si="29" ref="T59:W59">32-SUM(T54:T57)</f>
        <v>4</v>
      </c>
      <c r="U59" s="51" t="str">
        <f t="shared" si="29"/>
        <v>1</v>
      </c>
      <c r="V59" s="51" t="str">
        <f t="shared" si="29"/>
        <v>12</v>
      </c>
      <c r="W59" s="51" t="str">
        <f t="shared" si="29"/>
        <v>8</v>
      </c>
      <c r="X59" s="51" t="str">
        <f aca="true" t="shared" si="30" ref="X59:AA59">32-SUM(X54:X58)</f>
        <v>-1</v>
      </c>
      <c r="Y59" s="51" t="str">
        <f t="shared" si="30"/>
        <v>5</v>
      </c>
      <c r="Z59" s="51" t="str">
        <f t="shared" si="30"/>
        <v>12</v>
      </c>
      <c r="AA59" s="51" t="str">
        <f t="shared" si="30"/>
        <v>22</v>
      </c>
    </row>
    <row r="60" spans="1:27" ht="12" customHeight="1">
      <c r="A60" s="13" t="s">
        <v>588</v>
      </c>
      <c r="B60" s="13" t="s">
        <v>627</v>
      </c>
      <c r="C60" s="13" t="s">
        <v>209</v>
      </c>
      <c r="D60" s="13" t="s">
        <v>241</v>
      </c>
      <c r="E60" s="15">
        <v>10</v>
      </c>
      <c r="F60" s="15">
        <v>10</v>
      </c>
      <c r="G60" s="15">
        <v>10</v>
      </c>
      <c r="H60" s="15">
        <v>10</v>
      </c>
      <c r="I60" s="15">
        <v>10</v>
      </c>
      <c r="J60" s="15">
        <v>2</v>
      </c>
      <c r="K60" s="15">
        <v>2</v>
      </c>
      <c r="L60" s="15">
        <v>2</v>
      </c>
      <c r="M60" s="15">
        <v>0</v>
      </c>
      <c r="N60" s="15">
        <v>0</v>
      </c>
      <c r="O60" s="15">
        <v>0</v>
      </c>
      <c r="P60" s="15">
        <v>0</v>
      </c>
      <c r="Q60" s="15">
        <v>0</v>
      </c>
      <c r="R60" s="15">
        <v>0</v>
      </c>
      <c r="S60" s="15">
        <v>0</v>
      </c>
      <c r="T60" s="15">
        <v>0</v>
      </c>
      <c r="U60" s="15">
        <v>4</v>
      </c>
      <c r="V60" s="15">
        <v>4</v>
      </c>
      <c r="W60" s="15">
        <v>4</v>
      </c>
      <c r="X60" s="15">
        <v>4</v>
      </c>
      <c r="Y60" s="15">
        <v>4</v>
      </c>
      <c r="Z60" s="15">
        <v>4</v>
      </c>
      <c r="AA60" s="15">
        <v>4</v>
      </c>
    </row>
    <row r="61" spans="1:27" ht="12" customHeight="1">
      <c r="A61" s="190" t="str">
        <f aca="true" t="shared" si="31" ref="A61:B61">A60</f>
        <v>ops</v>
      </c>
      <c r="B61" s="191" t="str">
        <f t="shared" si="31"/>
        <v>JComstock</v>
      </c>
      <c r="C61" s="193" t="str">
        <f>"TOTAL Avail: "&amp;B61</f>
        <v>TOTAL Avail: JComstock</v>
      </c>
      <c r="D61" s="202"/>
      <c r="E61" s="204" t="str">
        <f aca="true" t="shared" si="32" ref="E61:T61">SUM(E60)</f>
        <v>10</v>
      </c>
      <c r="F61" s="204" t="str">
        <f t="shared" si="32"/>
        <v>10</v>
      </c>
      <c r="G61" s="204" t="str">
        <f t="shared" si="32"/>
        <v>10</v>
      </c>
      <c r="H61" s="204" t="str">
        <f t="shared" si="32"/>
        <v>10</v>
      </c>
      <c r="I61" s="204" t="str">
        <f t="shared" si="32"/>
        <v>10</v>
      </c>
      <c r="J61" s="204" t="str">
        <f t="shared" si="32"/>
        <v>2</v>
      </c>
      <c r="K61" s="204" t="str">
        <f t="shared" si="32"/>
        <v>2</v>
      </c>
      <c r="L61" s="204" t="str">
        <f t="shared" si="32"/>
        <v>2</v>
      </c>
      <c r="M61" s="204" t="str">
        <f t="shared" si="32"/>
        <v>0</v>
      </c>
      <c r="N61" s="204" t="str">
        <f t="shared" si="32"/>
        <v>0</v>
      </c>
      <c r="O61" s="204" t="str">
        <f t="shared" si="32"/>
        <v>0</v>
      </c>
      <c r="P61" s="204" t="str">
        <f t="shared" si="32"/>
        <v>0</v>
      </c>
      <c r="Q61" s="204" t="str">
        <f t="shared" si="32"/>
        <v>0</v>
      </c>
      <c r="R61" s="204" t="str">
        <f t="shared" si="32"/>
        <v>0</v>
      </c>
      <c r="S61" s="204" t="str">
        <f t="shared" si="32"/>
        <v>0</v>
      </c>
      <c r="T61" s="204" t="str">
        <f t="shared" si="32"/>
        <v>0</v>
      </c>
      <c r="U61" s="204" t="str">
        <f aca="true" t="shared" si="33" ref="U61:AA61">4-SUM(U60)</f>
        <v>0</v>
      </c>
      <c r="V61" s="204" t="str">
        <f t="shared" si="33"/>
        <v>0</v>
      </c>
      <c r="W61" s="204" t="str">
        <f t="shared" si="33"/>
        <v>0</v>
      </c>
      <c r="X61" s="204" t="str">
        <f t="shared" si="33"/>
        <v>0</v>
      </c>
      <c r="Y61" s="204" t="str">
        <f t="shared" si="33"/>
        <v>0</v>
      </c>
      <c r="Z61" s="204" t="str">
        <f t="shared" si="33"/>
        <v>0</v>
      </c>
      <c r="AA61" s="204" t="str">
        <f t="shared" si="33"/>
        <v>0</v>
      </c>
    </row>
    <row r="62" spans="1:27" ht="12" customHeight="1">
      <c r="A62" s="13" t="s">
        <v>588</v>
      </c>
      <c r="B62" s="13" t="s">
        <v>645</v>
      </c>
      <c r="C62" s="13" t="s">
        <v>557</v>
      </c>
      <c r="D62" s="13" t="s">
        <v>647</v>
      </c>
      <c r="E62" s="15">
        <v>10</v>
      </c>
      <c r="F62" s="15">
        <v>10</v>
      </c>
      <c r="G62" s="15">
        <v>10</v>
      </c>
      <c r="H62" s="15">
        <v>10</v>
      </c>
      <c r="I62" s="15">
        <v>10</v>
      </c>
      <c r="J62" s="15">
        <v>2</v>
      </c>
      <c r="K62" s="15">
        <v>2</v>
      </c>
      <c r="L62" s="15">
        <v>2</v>
      </c>
      <c r="M62" s="15">
        <v>0</v>
      </c>
      <c r="N62" s="15">
        <v>0</v>
      </c>
      <c r="O62" s="15">
        <v>0</v>
      </c>
      <c r="P62" s="15">
        <v>0</v>
      </c>
      <c r="Q62" s="15">
        <v>0</v>
      </c>
      <c r="R62" s="15">
        <v>0</v>
      </c>
      <c r="S62" s="15">
        <v>0</v>
      </c>
      <c r="T62" s="15">
        <v>0</v>
      </c>
      <c r="U62" s="15">
        <v>30</v>
      </c>
      <c r="V62" s="15">
        <v>15</v>
      </c>
      <c r="W62" s="15">
        <v>0</v>
      </c>
      <c r="X62" s="15">
        <v>20</v>
      </c>
      <c r="Y62" s="15">
        <v>20</v>
      </c>
      <c r="Z62" s="15">
        <v>10</v>
      </c>
      <c r="AA62" s="15">
        <v>10</v>
      </c>
    </row>
    <row r="63" spans="1:27" ht="12" customHeight="1">
      <c r="A63" s="13" t="s">
        <v>588</v>
      </c>
      <c r="B63" s="13" t="s">
        <v>645</v>
      </c>
      <c r="C63" s="13" t="s">
        <v>209</v>
      </c>
      <c r="D63" s="13" t="s">
        <v>241</v>
      </c>
      <c r="E63" s="15">
        <v>10</v>
      </c>
      <c r="F63" s="15">
        <v>10</v>
      </c>
      <c r="G63" s="15">
        <v>10</v>
      </c>
      <c r="H63" s="15">
        <v>10</v>
      </c>
      <c r="I63" s="15">
        <v>10</v>
      </c>
      <c r="J63" s="15">
        <v>2</v>
      </c>
      <c r="K63" s="15">
        <v>2</v>
      </c>
      <c r="L63" s="15">
        <v>2</v>
      </c>
      <c r="M63" s="15">
        <v>0</v>
      </c>
      <c r="N63" s="15">
        <v>0</v>
      </c>
      <c r="O63" s="15">
        <v>0</v>
      </c>
      <c r="P63" s="15">
        <v>0</v>
      </c>
      <c r="Q63" s="15">
        <v>0</v>
      </c>
      <c r="R63" s="15">
        <v>0</v>
      </c>
      <c r="S63" s="15">
        <v>0</v>
      </c>
      <c r="T63" s="15">
        <v>0</v>
      </c>
      <c r="U63" s="15">
        <v>0</v>
      </c>
      <c r="V63" s="15">
        <v>15</v>
      </c>
      <c r="W63" s="15">
        <v>15</v>
      </c>
      <c r="X63" s="15">
        <v>10</v>
      </c>
      <c r="Y63" s="15">
        <v>10</v>
      </c>
      <c r="Z63" s="15">
        <v>5</v>
      </c>
      <c r="AA63" s="15">
        <v>5</v>
      </c>
    </row>
    <row r="64" spans="1:27" ht="12" customHeight="1">
      <c r="A64" s="13" t="s">
        <v>588</v>
      </c>
      <c r="B64" s="13" t="s">
        <v>645</v>
      </c>
      <c r="C64" s="15" t="s">
        <v>151</v>
      </c>
      <c r="D64" s="39"/>
      <c r="E64" s="50">
        <v>8</v>
      </c>
      <c r="F64" s="50">
        <v>15</v>
      </c>
      <c r="G64" s="50">
        <v>14</v>
      </c>
      <c r="H64" s="50">
        <v>14</v>
      </c>
      <c r="I64" s="50">
        <v>14</v>
      </c>
      <c r="J64" s="50">
        <v>14</v>
      </c>
      <c r="K64" s="50">
        <v>14</v>
      </c>
      <c r="L64" s="50">
        <v>0</v>
      </c>
      <c r="M64" s="50">
        <v>14</v>
      </c>
      <c r="N64" s="50">
        <v>14</v>
      </c>
      <c r="O64" s="50">
        <v>14</v>
      </c>
      <c r="P64" s="50">
        <v>14</v>
      </c>
      <c r="Q64" s="50">
        <v>0</v>
      </c>
      <c r="R64" s="50">
        <v>14</v>
      </c>
      <c r="S64" s="50">
        <v>10</v>
      </c>
      <c r="T64" s="50">
        <v>32</v>
      </c>
      <c r="U64" s="50">
        <v>32</v>
      </c>
      <c r="V64" s="50">
        <v>32</v>
      </c>
      <c r="W64" s="50">
        <v>12</v>
      </c>
      <c r="X64" s="50">
        <v>0</v>
      </c>
      <c r="Y64" s="50">
        <v>0</v>
      </c>
      <c r="Z64" s="50">
        <v>0</v>
      </c>
      <c r="AA64" s="50">
        <v>0</v>
      </c>
    </row>
    <row r="65" spans="1:27" ht="12" customHeight="1">
      <c r="A65" s="45" t="str">
        <f aca="true" t="shared" si="34" ref="A65:B65">A62</f>
        <v>ops</v>
      </c>
      <c r="B65" s="70" t="str">
        <f t="shared" si="34"/>
        <v>DWiliams</v>
      </c>
      <c r="C65" s="47" t="str">
        <f>"TOTAL Avail: "&amp;B65</f>
        <v>TOTAL Avail: DWiliams</v>
      </c>
      <c r="D65" s="49"/>
      <c r="E65" s="51" t="str">
        <f aca="true" t="shared" si="35" ref="E65:T65">SUM(E62)</f>
        <v>10</v>
      </c>
      <c r="F65" s="51" t="str">
        <f t="shared" si="35"/>
        <v>10</v>
      </c>
      <c r="G65" s="51" t="str">
        <f t="shared" si="35"/>
        <v>10</v>
      </c>
      <c r="H65" s="51" t="str">
        <f t="shared" si="35"/>
        <v>10</v>
      </c>
      <c r="I65" s="51" t="str">
        <f t="shared" si="35"/>
        <v>10</v>
      </c>
      <c r="J65" s="51" t="str">
        <f t="shared" si="35"/>
        <v>2</v>
      </c>
      <c r="K65" s="51" t="str">
        <f t="shared" si="35"/>
        <v>2</v>
      </c>
      <c r="L65" s="51" t="str">
        <f t="shared" si="35"/>
        <v>2</v>
      </c>
      <c r="M65" s="51" t="str">
        <f t="shared" si="35"/>
        <v>0</v>
      </c>
      <c r="N65" s="51" t="str">
        <f t="shared" si="35"/>
        <v>0</v>
      </c>
      <c r="O65" s="51" t="str">
        <f t="shared" si="35"/>
        <v>0</v>
      </c>
      <c r="P65" s="51" t="str">
        <f t="shared" si="35"/>
        <v>0</v>
      </c>
      <c r="Q65" s="51" t="str">
        <f t="shared" si="35"/>
        <v>0</v>
      </c>
      <c r="R65" s="51" t="str">
        <f t="shared" si="35"/>
        <v>0</v>
      </c>
      <c r="S65" s="51" t="str">
        <f t="shared" si="35"/>
        <v>0</v>
      </c>
      <c r="T65" s="51" t="str">
        <f t="shared" si="35"/>
        <v>0</v>
      </c>
      <c r="U65" s="51" t="str">
        <f aca="true" t="shared" si="36" ref="U65:V65">15-SUM(U62)</f>
        <v>-15</v>
      </c>
      <c r="V65" s="51" t="str">
        <f t="shared" si="36"/>
        <v>0</v>
      </c>
      <c r="W65" s="51" t="str">
        <f>15-SUM(W62:W63)</f>
        <v>0</v>
      </c>
      <c r="X65" s="51" t="str">
        <f aca="true" t="shared" si="37" ref="X65:AA65">15-SUM(X62:X64)</f>
        <v>-15</v>
      </c>
      <c r="Y65" s="51" t="str">
        <f t="shared" si="37"/>
        <v>-15</v>
      </c>
      <c r="Z65" s="51" t="str">
        <f t="shared" si="37"/>
        <v>0</v>
      </c>
      <c r="AA65" s="51" t="str">
        <f t="shared" si="37"/>
        <v>0</v>
      </c>
    </row>
    <row r="66" spans="1:27" ht="12" customHeight="1">
      <c r="A66" s="13" t="s">
        <v>588</v>
      </c>
      <c r="B66" s="13" t="s">
        <v>68</v>
      </c>
      <c r="C66" s="13" t="s">
        <v>167</v>
      </c>
      <c r="D66" s="13" t="s">
        <v>661</v>
      </c>
      <c r="E66" s="15">
        <v>12</v>
      </c>
      <c r="F66" s="15">
        <v>12</v>
      </c>
      <c r="G66" s="15">
        <v>12</v>
      </c>
      <c r="H66" s="15">
        <v>12</v>
      </c>
      <c r="I66" s="15">
        <v>12</v>
      </c>
      <c r="J66" s="15">
        <v>12</v>
      </c>
      <c r="K66" s="15">
        <v>12</v>
      </c>
      <c r="L66" s="15">
        <v>12</v>
      </c>
      <c r="M66" s="15">
        <v>12</v>
      </c>
      <c r="N66" s="15">
        <v>8</v>
      </c>
      <c r="O66" s="15">
        <v>8</v>
      </c>
      <c r="P66" s="15">
        <v>8</v>
      </c>
      <c r="Q66" s="15">
        <v>8</v>
      </c>
      <c r="R66" s="15">
        <v>8</v>
      </c>
      <c r="S66" s="15">
        <v>8</v>
      </c>
      <c r="T66" s="15">
        <v>8</v>
      </c>
      <c r="U66" s="15">
        <v>2</v>
      </c>
      <c r="V66" s="15">
        <v>2</v>
      </c>
      <c r="W66" s="15">
        <v>2</v>
      </c>
      <c r="X66" s="15">
        <v>2</v>
      </c>
      <c r="Y66" s="15">
        <v>2</v>
      </c>
      <c r="Z66" s="15">
        <v>2</v>
      </c>
      <c r="AA66" s="15">
        <v>2</v>
      </c>
    </row>
    <row r="67" spans="1:27" ht="12" customHeight="1">
      <c r="A67" s="13" t="s">
        <v>588</v>
      </c>
      <c r="B67" s="13" t="s">
        <v>68</v>
      </c>
      <c r="C67" s="13" t="s">
        <v>42</v>
      </c>
      <c r="D67" s="15" t="s">
        <v>554</v>
      </c>
      <c r="E67" s="15">
        <v>5</v>
      </c>
      <c r="F67" s="15">
        <v>5</v>
      </c>
      <c r="G67" s="15">
        <v>5</v>
      </c>
      <c r="H67" s="15">
        <v>5</v>
      </c>
      <c r="I67" s="15">
        <v>5</v>
      </c>
      <c r="J67" s="15">
        <v>5</v>
      </c>
      <c r="K67" s="15">
        <v>5</v>
      </c>
      <c r="L67" s="15">
        <v>5</v>
      </c>
      <c r="M67" s="15">
        <v>5</v>
      </c>
      <c r="N67" s="15">
        <v>10</v>
      </c>
      <c r="O67" s="15">
        <v>10</v>
      </c>
      <c r="P67" s="15">
        <v>5</v>
      </c>
      <c r="Q67" s="15">
        <v>10</v>
      </c>
      <c r="R67" s="15">
        <v>10</v>
      </c>
      <c r="S67" s="15">
        <v>10</v>
      </c>
      <c r="T67" s="15">
        <v>10</v>
      </c>
      <c r="U67" s="15">
        <v>10</v>
      </c>
      <c r="V67" s="15">
        <v>10</v>
      </c>
      <c r="W67" s="15">
        <v>15</v>
      </c>
      <c r="X67" s="15">
        <v>15</v>
      </c>
      <c r="Y67" s="15">
        <v>10</v>
      </c>
      <c r="Z67" s="15">
        <v>10</v>
      </c>
      <c r="AA67" s="15">
        <v>10</v>
      </c>
    </row>
    <row r="68" spans="1:27" ht="12" customHeight="1">
      <c r="A68" s="13" t="s">
        <v>588</v>
      </c>
      <c r="B68" s="13" t="s">
        <v>68</v>
      </c>
      <c r="C68" s="13" t="s">
        <v>206</v>
      </c>
      <c r="D68" s="13" t="s">
        <v>604</v>
      </c>
      <c r="E68" s="15">
        <v>5</v>
      </c>
      <c r="F68" s="15">
        <v>5</v>
      </c>
      <c r="G68" s="15">
        <v>5</v>
      </c>
      <c r="H68" s="15">
        <v>5</v>
      </c>
      <c r="I68" s="15">
        <v>5</v>
      </c>
      <c r="J68" s="15">
        <v>10</v>
      </c>
      <c r="K68" s="15">
        <v>10</v>
      </c>
      <c r="L68" s="15">
        <v>10</v>
      </c>
      <c r="M68" s="15">
        <v>10</v>
      </c>
      <c r="N68" s="15">
        <v>10</v>
      </c>
      <c r="O68" s="15">
        <v>10</v>
      </c>
      <c r="P68" s="15">
        <v>10</v>
      </c>
      <c r="Q68" s="15">
        <v>10</v>
      </c>
      <c r="R68" s="15">
        <v>10</v>
      </c>
      <c r="S68" s="15">
        <v>10</v>
      </c>
      <c r="T68" s="15">
        <v>10</v>
      </c>
      <c r="U68" s="15">
        <v>10</v>
      </c>
      <c r="V68" s="15">
        <v>10</v>
      </c>
      <c r="W68" s="15">
        <v>5</v>
      </c>
      <c r="X68" s="15">
        <v>5</v>
      </c>
      <c r="Y68" s="15">
        <v>5</v>
      </c>
      <c r="Z68" s="15">
        <v>5</v>
      </c>
      <c r="AA68" s="15">
        <v>5</v>
      </c>
    </row>
    <row r="69" spans="1:27" ht="12" customHeight="1">
      <c r="A69" s="13" t="s">
        <v>588</v>
      </c>
      <c r="B69" s="13" t="s">
        <v>68</v>
      </c>
      <c r="C69" s="13" t="s">
        <v>557</v>
      </c>
      <c r="D69" s="13" t="s">
        <v>665</v>
      </c>
      <c r="E69" s="15">
        <v>5</v>
      </c>
      <c r="F69" s="15">
        <v>5</v>
      </c>
      <c r="G69" s="15">
        <v>5</v>
      </c>
      <c r="H69" s="15">
        <v>5</v>
      </c>
      <c r="I69" s="15">
        <v>5</v>
      </c>
      <c r="J69" s="15">
        <v>10</v>
      </c>
      <c r="K69" s="15">
        <v>10</v>
      </c>
      <c r="L69" s="15">
        <v>10</v>
      </c>
      <c r="M69" s="15">
        <v>10</v>
      </c>
      <c r="N69" s="15">
        <v>10</v>
      </c>
      <c r="O69" s="15">
        <v>10</v>
      </c>
      <c r="P69" s="15">
        <v>10</v>
      </c>
      <c r="Q69" s="15">
        <v>10</v>
      </c>
      <c r="R69" s="15">
        <v>10</v>
      </c>
      <c r="S69" s="15">
        <v>10</v>
      </c>
      <c r="T69" s="15">
        <v>10</v>
      </c>
      <c r="U69" s="15">
        <v>5</v>
      </c>
      <c r="V69" s="15">
        <v>5</v>
      </c>
      <c r="W69" s="15">
        <v>2</v>
      </c>
      <c r="X69" s="15">
        <v>2</v>
      </c>
      <c r="Y69" s="15">
        <v>2</v>
      </c>
      <c r="Z69" s="15">
        <v>2</v>
      </c>
      <c r="AA69" s="15">
        <v>2</v>
      </c>
    </row>
    <row r="70" spans="1:27" ht="12" customHeight="1">
      <c r="A70" s="13" t="s">
        <v>588</v>
      </c>
      <c r="B70" s="13" t="s">
        <v>68</v>
      </c>
      <c r="C70" s="13" t="s">
        <v>668</v>
      </c>
      <c r="E70" s="15">
        <v>5</v>
      </c>
      <c r="F70" s="15">
        <v>5</v>
      </c>
      <c r="G70" s="15">
        <v>5</v>
      </c>
      <c r="H70" s="15">
        <v>5</v>
      </c>
      <c r="I70" s="15">
        <v>5</v>
      </c>
      <c r="J70" s="15">
        <v>5</v>
      </c>
      <c r="K70" s="15">
        <v>5</v>
      </c>
      <c r="L70" s="15">
        <v>5</v>
      </c>
      <c r="M70" s="15">
        <v>5</v>
      </c>
      <c r="N70" s="15">
        <v>5</v>
      </c>
      <c r="O70" s="15">
        <v>5</v>
      </c>
      <c r="P70" s="15">
        <v>5</v>
      </c>
      <c r="Q70" s="15">
        <v>5</v>
      </c>
      <c r="R70" s="15">
        <v>5</v>
      </c>
      <c r="S70" s="15">
        <v>5</v>
      </c>
      <c r="T70" s="15">
        <v>5</v>
      </c>
      <c r="U70" s="15">
        <v>3</v>
      </c>
      <c r="V70" s="15">
        <v>6</v>
      </c>
      <c r="W70" s="15">
        <v>3</v>
      </c>
      <c r="X70" s="15">
        <v>3</v>
      </c>
      <c r="Y70" s="15">
        <v>3</v>
      </c>
      <c r="Z70" s="15">
        <v>0</v>
      </c>
      <c r="AA70" s="15">
        <v>0</v>
      </c>
    </row>
    <row r="71" spans="1:27" ht="12" customHeight="1">
      <c r="A71" s="13" t="s">
        <v>588</v>
      </c>
      <c r="B71" s="13" t="s">
        <v>68</v>
      </c>
      <c r="C71" s="13" t="s">
        <v>271</v>
      </c>
      <c r="E71" s="15">
        <v>5</v>
      </c>
      <c r="F71" s="15">
        <v>5</v>
      </c>
      <c r="G71" s="15">
        <v>5</v>
      </c>
      <c r="H71" s="15">
        <v>5</v>
      </c>
      <c r="I71" s="15">
        <v>5</v>
      </c>
      <c r="J71" s="15">
        <v>5</v>
      </c>
      <c r="K71" s="15">
        <v>5</v>
      </c>
      <c r="L71" s="15">
        <v>5</v>
      </c>
      <c r="M71" s="15">
        <v>5</v>
      </c>
      <c r="N71" s="15">
        <v>5</v>
      </c>
      <c r="O71" s="15">
        <v>5</v>
      </c>
      <c r="P71" s="15">
        <v>5</v>
      </c>
      <c r="Q71" s="15">
        <v>5</v>
      </c>
      <c r="R71" s="15">
        <v>5</v>
      </c>
      <c r="S71" s="15">
        <v>5</v>
      </c>
      <c r="T71" s="15">
        <v>5</v>
      </c>
      <c r="U71" s="15">
        <v>3</v>
      </c>
      <c r="V71" s="15">
        <v>6</v>
      </c>
      <c r="W71" s="15">
        <v>3</v>
      </c>
      <c r="X71" s="15">
        <v>3</v>
      </c>
      <c r="Y71" s="15">
        <v>3</v>
      </c>
      <c r="Z71" s="15">
        <v>3</v>
      </c>
      <c r="AA71" s="15">
        <v>3</v>
      </c>
    </row>
    <row r="72" spans="1:27" ht="12" customHeight="1">
      <c r="A72" s="13" t="s">
        <v>588</v>
      </c>
      <c r="B72" s="13" t="s">
        <v>68</v>
      </c>
      <c r="C72" s="13" t="s">
        <v>496</v>
      </c>
      <c r="E72" s="15">
        <v>10</v>
      </c>
      <c r="F72" s="15">
        <v>10</v>
      </c>
      <c r="G72" s="15">
        <v>10</v>
      </c>
      <c r="H72" s="15">
        <v>10</v>
      </c>
      <c r="I72" s="15">
        <v>10</v>
      </c>
      <c r="J72" s="15">
        <v>10</v>
      </c>
      <c r="K72" s="15">
        <v>10</v>
      </c>
      <c r="L72" s="15">
        <v>10</v>
      </c>
      <c r="M72" s="15">
        <v>10</v>
      </c>
      <c r="N72" s="15">
        <v>5</v>
      </c>
      <c r="O72" s="15">
        <v>5</v>
      </c>
      <c r="P72" s="15">
        <v>5</v>
      </c>
      <c r="Q72" s="15">
        <v>5</v>
      </c>
      <c r="R72" s="15">
        <v>5</v>
      </c>
      <c r="S72" s="15">
        <v>5</v>
      </c>
      <c r="T72" s="15">
        <v>5</v>
      </c>
      <c r="U72" s="15">
        <v>1</v>
      </c>
      <c r="V72" s="15">
        <v>1</v>
      </c>
      <c r="W72" s="15">
        <v>5</v>
      </c>
      <c r="X72" s="15">
        <v>1</v>
      </c>
      <c r="Y72" s="15">
        <v>1</v>
      </c>
      <c r="Z72" s="15">
        <v>1</v>
      </c>
      <c r="AA72" s="15">
        <v>1</v>
      </c>
    </row>
    <row r="73" spans="1:27" ht="12" customHeight="1">
      <c r="A73" s="13" t="s">
        <v>588</v>
      </c>
      <c r="B73" s="13" t="s">
        <v>68</v>
      </c>
      <c r="C73" s="15" t="s">
        <v>151</v>
      </c>
      <c r="D73" s="39"/>
      <c r="E73" s="50">
        <v>8</v>
      </c>
      <c r="F73" s="50">
        <v>15</v>
      </c>
      <c r="G73" s="50">
        <v>14</v>
      </c>
      <c r="H73" s="50">
        <v>14</v>
      </c>
      <c r="I73" s="50">
        <v>14</v>
      </c>
      <c r="J73" s="50">
        <v>14</v>
      </c>
      <c r="K73" s="50">
        <v>14</v>
      </c>
      <c r="L73" s="50">
        <v>0</v>
      </c>
      <c r="M73" s="50">
        <v>14</v>
      </c>
      <c r="N73" s="50">
        <v>14</v>
      </c>
      <c r="O73" s="50">
        <v>14</v>
      </c>
      <c r="P73" s="50">
        <v>14</v>
      </c>
      <c r="Q73" s="50">
        <v>0</v>
      </c>
      <c r="R73" s="50">
        <v>14</v>
      </c>
      <c r="S73" s="50">
        <v>10</v>
      </c>
      <c r="T73" s="50">
        <v>32</v>
      </c>
      <c r="U73" s="50">
        <v>32</v>
      </c>
      <c r="V73" s="50">
        <v>32</v>
      </c>
      <c r="W73" s="50">
        <v>12</v>
      </c>
      <c r="X73" s="50">
        <v>7</v>
      </c>
      <c r="Y73" s="50">
        <v>7</v>
      </c>
      <c r="Z73" s="50">
        <v>0</v>
      </c>
      <c r="AA73" s="50">
        <v>0</v>
      </c>
    </row>
    <row r="74" spans="1:27" ht="12" customHeight="1">
      <c r="A74" s="45" t="str">
        <f aca="true" t="shared" si="38" ref="A74:B74">A72</f>
        <v>ops</v>
      </c>
      <c r="B74" s="70" t="str">
        <f t="shared" si="38"/>
        <v>JZapin</v>
      </c>
      <c r="C74" s="47" t="str">
        <f>"TOTAL Avail: "&amp;B74</f>
        <v>TOTAL Avail: JZapin</v>
      </c>
      <c r="D74" s="49"/>
      <c r="E74" s="51" t="str">
        <f aca="true" t="shared" si="39" ref="E74:S74">SUM(E66:E72)</f>
        <v>47</v>
      </c>
      <c r="F74" s="51" t="str">
        <f t="shared" si="39"/>
        <v>47</v>
      </c>
      <c r="G74" s="51" t="str">
        <f t="shared" si="39"/>
        <v>47</v>
      </c>
      <c r="H74" s="51" t="str">
        <f t="shared" si="39"/>
        <v>47</v>
      </c>
      <c r="I74" s="51" t="str">
        <f t="shared" si="39"/>
        <v>47</v>
      </c>
      <c r="J74" s="51" t="str">
        <f t="shared" si="39"/>
        <v>57</v>
      </c>
      <c r="K74" s="51" t="str">
        <f t="shared" si="39"/>
        <v>57</v>
      </c>
      <c r="L74" s="51" t="str">
        <f t="shared" si="39"/>
        <v>57</v>
      </c>
      <c r="M74" s="51" t="str">
        <f t="shared" si="39"/>
        <v>57</v>
      </c>
      <c r="N74" s="51" t="str">
        <f t="shared" si="39"/>
        <v>53</v>
      </c>
      <c r="O74" s="51" t="str">
        <f t="shared" si="39"/>
        <v>53</v>
      </c>
      <c r="P74" s="51" t="str">
        <f t="shared" si="39"/>
        <v>48</v>
      </c>
      <c r="Q74" s="51" t="str">
        <f t="shared" si="39"/>
        <v>53</v>
      </c>
      <c r="R74" s="51" t="str">
        <f t="shared" si="39"/>
        <v>53</v>
      </c>
      <c r="S74" s="51" t="str">
        <f t="shared" si="39"/>
        <v>53</v>
      </c>
      <c r="T74" s="51" t="str">
        <f aca="true" t="shared" si="40" ref="T74:W74">32-SUM(T66:T72)</f>
        <v>-21</v>
      </c>
      <c r="U74" s="51" t="str">
        <f t="shared" si="40"/>
        <v>-2</v>
      </c>
      <c r="V74" s="51" t="str">
        <f t="shared" si="40"/>
        <v>-8</v>
      </c>
      <c r="W74" s="51" t="str">
        <f t="shared" si="40"/>
        <v>-3</v>
      </c>
      <c r="X74" s="51" t="str">
        <f aca="true" t="shared" si="41" ref="X74:AA74">32-SUM(X66:X73)</f>
        <v>-6</v>
      </c>
      <c r="Y74" s="51" t="str">
        <f t="shared" si="41"/>
        <v>-1</v>
      </c>
      <c r="Z74" s="51" t="str">
        <f t="shared" si="41"/>
        <v>9</v>
      </c>
      <c r="AA74" s="51" t="str">
        <f t="shared" si="41"/>
        <v>9</v>
      </c>
    </row>
    <row r="75" spans="1:27" ht="12" customHeight="1" hidden="1">
      <c r="A75" s="13" t="s">
        <v>694</v>
      </c>
      <c r="B75" s="13" t="s">
        <v>695</v>
      </c>
      <c r="C75" s="13" t="s">
        <v>688</v>
      </c>
      <c r="E75" s="39"/>
      <c r="F75" s="39"/>
      <c r="G75" s="39"/>
      <c r="H75" s="39"/>
      <c r="I75" s="39"/>
      <c r="J75" s="39"/>
      <c r="K75" s="39"/>
      <c r="L75" s="39"/>
      <c r="M75" s="39"/>
      <c r="N75" s="39"/>
      <c r="O75" s="39"/>
      <c r="P75" s="39"/>
      <c r="Q75" s="39"/>
      <c r="R75" s="39"/>
      <c r="S75" s="39"/>
      <c r="T75" s="39"/>
      <c r="U75" s="39"/>
      <c r="V75" s="15">
        <v>5</v>
      </c>
      <c r="W75" s="15">
        <v>0</v>
      </c>
      <c r="X75" s="15">
        <v>0</v>
      </c>
      <c r="Y75" s="15">
        <v>0</v>
      </c>
      <c r="Z75" s="15">
        <v>0</v>
      </c>
      <c r="AA75" s="15">
        <v>0</v>
      </c>
    </row>
    <row r="76" spans="1:27" ht="12" customHeight="1">
      <c r="A76" s="13" t="s">
        <v>694</v>
      </c>
      <c r="B76" s="13" t="s">
        <v>695</v>
      </c>
      <c r="C76" s="13" t="s">
        <v>699</v>
      </c>
      <c r="E76" s="15">
        <v>15</v>
      </c>
      <c r="F76" s="15">
        <v>15</v>
      </c>
      <c r="G76" s="15">
        <v>15</v>
      </c>
      <c r="H76" s="15">
        <v>15</v>
      </c>
      <c r="I76" s="15">
        <v>15</v>
      </c>
      <c r="J76" s="15">
        <v>15</v>
      </c>
      <c r="K76" s="15">
        <v>15</v>
      </c>
      <c r="L76" s="15">
        <v>15</v>
      </c>
      <c r="M76" s="15">
        <v>15</v>
      </c>
      <c r="N76" s="15">
        <v>10</v>
      </c>
      <c r="O76" s="15">
        <v>10</v>
      </c>
      <c r="P76" s="15">
        <v>10</v>
      </c>
      <c r="Q76" s="15">
        <v>5</v>
      </c>
      <c r="R76" s="15">
        <v>0</v>
      </c>
      <c r="S76" s="15">
        <v>10</v>
      </c>
      <c r="T76" s="15">
        <v>5</v>
      </c>
      <c r="U76" s="15">
        <v>5</v>
      </c>
      <c r="V76" s="15">
        <v>5</v>
      </c>
      <c r="W76" s="15">
        <v>10</v>
      </c>
      <c r="X76" s="15">
        <v>0</v>
      </c>
      <c r="Y76" s="15">
        <v>0</v>
      </c>
      <c r="Z76" s="15">
        <v>10</v>
      </c>
      <c r="AA76" s="15">
        <v>10</v>
      </c>
    </row>
    <row r="77" spans="1:27" ht="12" customHeight="1">
      <c r="A77" s="13" t="s">
        <v>694</v>
      </c>
      <c r="B77" s="13" t="s">
        <v>695</v>
      </c>
      <c r="C77" s="13" t="s">
        <v>167</v>
      </c>
      <c r="E77" s="15">
        <v>15</v>
      </c>
      <c r="F77" s="15">
        <v>15</v>
      </c>
      <c r="G77" s="15">
        <v>15</v>
      </c>
      <c r="H77" s="15">
        <v>15</v>
      </c>
      <c r="I77" s="15">
        <v>15</v>
      </c>
      <c r="J77" s="15">
        <v>15</v>
      </c>
      <c r="K77" s="15">
        <v>15</v>
      </c>
      <c r="L77" s="15">
        <v>15</v>
      </c>
      <c r="M77" s="15">
        <v>15</v>
      </c>
      <c r="N77" s="15">
        <v>15</v>
      </c>
      <c r="O77" s="15">
        <v>15</v>
      </c>
      <c r="P77" s="15">
        <v>5</v>
      </c>
      <c r="Q77" s="15">
        <v>5</v>
      </c>
      <c r="R77" s="15">
        <v>10</v>
      </c>
      <c r="S77" s="15">
        <v>10</v>
      </c>
      <c r="T77" s="15">
        <v>5</v>
      </c>
      <c r="U77" s="15">
        <v>5</v>
      </c>
      <c r="V77" s="15">
        <v>10</v>
      </c>
      <c r="W77" s="15">
        <v>5</v>
      </c>
      <c r="X77" s="15">
        <v>0</v>
      </c>
      <c r="Y77" s="15">
        <v>0</v>
      </c>
      <c r="Z77" s="15">
        <v>10</v>
      </c>
      <c r="AA77" s="15">
        <v>10</v>
      </c>
    </row>
    <row r="78" spans="1:27" ht="12" customHeight="1">
      <c r="A78" s="13" t="s">
        <v>694</v>
      </c>
      <c r="B78" s="13" t="s">
        <v>695</v>
      </c>
      <c r="C78" s="13" t="s">
        <v>706</v>
      </c>
      <c r="E78" s="39"/>
      <c r="F78" s="39"/>
      <c r="G78" s="39"/>
      <c r="H78" s="39"/>
      <c r="I78" s="39"/>
      <c r="J78" s="39"/>
      <c r="K78" s="39"/>
      <c r="L78" s="39"/>
      <c r="M78" s="39"/>
      <c r="N78" s="39"/>
      <c r="O78" s="39"/>
      <c r="P78" s="39"/>
      <c r="Q78" s="39"/>
      <c r="R78" s="39"/>
      <c r="S78" s="39"/>
      <c r="T78" s="15">
        <v>2</v>
      </c>
      <c r="U78" s="15">
        <v>6</v>
      </c>
      <c r="V78" s="15">
        <v>10</v>
      </c>
      <c r="W78" s="15">
        <v>5</v>
      </c>
      <c r="X78" s="15">
        <v>0</v>
      </c>
      <c r="Y78" s="15">
        <v>0</v>
      </c>
      <c r="Z78" s="15">
        <v>0</v>
      </c>
      <c r="AA78" s="15">
        <v>0</v>
      </c>
    </row>
    <row r="79" spans="1:27" ht="12" customHeight="1">
      <c r="A79" s="13" t="s">
        <v>694</v>
      </c>
      <c r="B79" s="13" t="s">
        <v>695</v>
      </c>
      <c r="C79" s="13" t="s">
        <v>709</v>
      </c>
      <c r="E79" s="39"/>
      <c r="F79" s="39"/>
      <c r="G79" s="39"/>
      <c r="H79" s="39"/>
      <c r="I79" s="39"/>
      <c r="J79" s="39"/>
      <c r="K79" s="39"/>
      <c r="L79" s="39"/>
      <c r="M79" s="39"/>
      <c r="N79" s="39"/>
      <c r="O79" s="39"/>
      <c r="P79" s="39"/>
      <c r="Q79" s="39"/>
      <c r="R79" s="39"/>
      <c r="S79" s="39"/>
      <c r="T79" s="39"/>
      <c r="U79" s="39"/>
      <c r="V79" s="15">
        <v>5</v>
      </c>
      <c r="W79" s="15">
        <v>2</v>
      </c>
      <c r="X79" s="15">
        <v>0</v>
      </c>
      <c r="Y79" s="15">
        <v>0</v>
      </c>
      <c r="Z79" s="15">
        <v>0</v>
      </c>
      <c r="AA79" s="15">
        <v>0</v>
      </c>
    </row>
    <row r="80" spans="1:27" ht="12" customHeight="1">
      <c r="A80" s="13" t="s">
        <v>694</v>
      </c>
      <c r="B80" s="13" t="s">
        <v>695</v>
      </c>
      <c r="C80" s="13" t="s">
        <v>710</v>
      </c>
      <c r="E80" s="39"/>
      <c r="F80" s="39"/>
      <c r="G80" s="39"/>
      <c r="H80" s="39"/>
      <c r="I80" s="39"/>
      <c r="J80" s="39"/>
      <c r="K80" s="39"/>
      <c r="L80" s="39"/>
      <c r="M80" s="39"/>
      <c r="N80" s="39"/>
      <c r="O80" s="39"/>
      <c r="P80" s="39"/>
      <c r="Q80" s="39"/>
      <c r="R80" s="39"/>
      <c r="S80" s="39"/>
      <c r="T80" s="39"/>
      <c r="U80" s="39"/>
      <c r="V80" s="15">
        <v>2</v>
      </c>
      <c r="W80" s="15">
        <v>2</v>
      </c>
      <c r="X80" s="15">
        <v>0</v>
      </c>
      <c r="Y80" s="15">
        <v>0</v>
      </c>
      <c r="Z80" s="15">
        <v>0</v>
      </c>
      <c r="AA80" s="15">
        <v>0</v>
      </c>
    </row>
    <row r="81" spans="1:27" ht="12" customHeight="1">
      <c r="A81" s="13" t="s">
        <v>694</v>
      </c>
      <c r="B81" s="13" t="s">
        <v>695</v>
      </c>
      <c r="C81" s="13" t="s">
        <v>711</v>
      </c>
      <c r="E81" s="39"/>
      <c r="F81" s="39"/>
      <c r="G81" s="39"/>
      <c r="H81" s="39"/>
      <c r="I81" s="39"/>
      <c r="J81" s="39"/>
      <c r="K81" s="39"/>
      <c r="L81" s="39"/>
      <c r="M81" s="39"/>
      <c r="N81" s="39"/>
      <c r="O81" s="39"/>
      <c r="P81" s="39"/>
      <c r="Q81" s="39"/>
      <c r="R81" s="39"/>
      <c r="S81" s="39"/>
      <c r="T81" s="39"/>
      <c r="U81" s="39"/>
      <c r="V81" s="15">
        <v>5</v>
      </c>
      <c r="W81" s="15">
        <v>3</v>
      </c>
      <c r="X81" s="15">
        <v>0</v>
      </c>
      <c r="Y81" s="15">
        <v>0</v>
      </c>
      <c r="Z81" s="15">
        <v>10</v>
      </c>
      <c r="AA81" s="15">
        <v>10</v>
      </c>
    </row>
    <row r="82" spans="1:27" ht="12" customHeight="1">
      <c r="A82" s="13" t="s">
        <v>694</v>
      </c>
      <c r="B82" s="13" t="s">
        <v>695</v>
      </c>
      <c r="C82" s="13" t="s">
        <v>712</v>
      </c>
      <c r="E82" s="39"/>
      <c r="F82" s="39"/>
      <c r="G82" s="39"/>
      <c r="H82" s="39"/>
      <c r="I82" s="39"/>
      <c r="J82" s="39"/>
      <c r="K82" s="39"/>
      <c r="L82" s="39"/>
      <c r="M82" s="39"/>
      <c r="N82" s="39"/>
      <c r="O82" s="39"/>
      <c r="P82" s="39"/>
      <c r="Q82" s="15">
        <v>5</v>
      </c>
      <c r="R82" s="15">
        <v>20</v>
      </c>
      <c r="S82" s="15">
        <v>10</v>
      </c>
      <c r="T82" s="15">
        <v>20</v>
      </c>
      <c r="U82" s="15">
        <v>20</v>
      </c>
      <c r="V82" s="15">
        <v>0</v>
      </c>
      <c r="W82" s="15">
        <v>5</v>
      </c>
      <c r="X82" s="39"/>
      <c r="Y82" s="39"/>
      <c r="Z82" s="15">
        <v>2</v>
      </c>
      <c r="AA82" s="15">
        <v>2</v>
      </c>
    </row>
    <row r="83" spans="1:27" ht="12" customHeight="1">
      <c r="A83" s="13" t="s">
        <v>694</v>
      </c>
      <c r="B83" s="13" t="s">
        <v>695</v>
      </c>
      <c r="C83" s="13" t="s">
        <v>151</v>
      </c>
      <c r="E83" s="39"/>
      <c r="F83" s="39"/>
      <c r="G83" s="39"/>
      <c r="H83" s="39"/>
      <c r="I83" s="39"/>
      <c r="J83" s="39"/>
      <c r="K83" s="39"/>
      <c r="L83" s="39"/>
      <c r="M83" s="39"/>
      <c r="N83" s="39"/>
      <c r="O83" s="39"/>
      <c r="P83" s="39"/>
      <c r="Q83" s="39"/>
      <c r="R83" s="39"/>
      <c r="S83" s="39"/>
      <c r="T83" s="39"/>
      <c r="U83" s="39"/>
      <c r="V83" s="39"/>
      <c r="W83" s="39"/>
      <c r="X83" s="15">
        <v>32</v>
      </c>
      <c r="Y83" s="15">
        <v>32</v>
      </c>
      <c r="Z83" s="15">
        <v>0</v>
      </c>
      <c r="AA83" s="15">
        <v>0</v>
      </c>
    </row>
    <row r="84" spans="1:27" ht="12" customHeight="1">
      <c r="A84" s="45" t="str">
        <f aca="true" t="shared" si="42" ref="A84:B84">A77</f>
        <v>svc</v>
      </c>
      <c r="B84" s="70" t="str">
        <f t="shared" si="42"/>
        <v>RBell</v>
      </c>
      <c r="C84" s="47" t="str">
        <f>"TOTAL Avail: "&amp;B84</f>
        <v>TOTAL Avail: RBell</v>
      </c>
      <c r="D84" s="49"/>
      <c r="E84" s="51" t="str">
        <f aca="true" t="shared" si="43" ref="E84:P84">SUM(E76:E77)</f>
        <v>30</v>
      </c>
      <c r="F84" s="51" t="str">
        <f t="shared" si="43"/>
        <v>30</v>
      </c>
      <c r="G84" s="51" t="str">
        <f t="shared" si="43"/>
        <v>30</v>
      </c>
      <c r="H84" s="51" t="str">
        <f t="shared" si="43"/>
        <v>30</v>
      </c>
      <c r="I84" s="51" t="str">
        <f t="shared" si="43"/>
        <v>30</v>
      </c>
      <c r="J84" s="51" t="str">
        <f t="shared" si="43"/>
        <v>30</v>
      </c>
      <c r="K84" s="51" t="str">
        <f t="shared" si="43"/>
        <v>30</v>
      </c>
      <c r="L84" s="51" t="str">
        <f t="shared" si="43"/>
        <v>30</v>
      </c>
      <c r="M84" s="51" t="str">
        <f t="shared" si="43"/>
        <v>30</v>
      </c>
      <c r="N84" s="51" t="str">
        <f t="shared" si="43"/>
        <v>25</v>
      </c>
      <c r="O84" s="51" t="str">
        <f t="shared" si="43"/>
        <v>25</v>
      </c>
      <c r="P84" s="51" t="str">
        <f t="shared" si="43"/>
        <v>15</v>
      </c>
      <c r="Q84" s="51" t="str">
        <f>SUM(Q76:Q82)</f>
        <v>15</v>
      </c>
      <c r="R84" s="51" t="str">
        <f>SUM(R76:R77)</f>
        <v>10</v>
      </c>
      <c r="S84" s="51" t="str">
        <f>SUM(S76:S82)</f>
        <v>30</v>
      </c>
      <c r="T84" s="51" t="str">
        <f aca="true" t="shared" si="44" ref="T84:U84">32-SUM(T76:T82)</f>
        <v>0</v>
      </c>
      <c r="U84" s="51" t="str">
        <f t="shared" si="44"/>
        <v>-4</v>
      </c>
      <c r="V84" s="51" t="str">
        <f aca="true" t="shared" si="45" ref="V84:AA84">32-SUM(V75:V83)</f>
        <v>-10</v>
      </c>
      <c r="W84" s="51" t="str">
        <f t="shared" si="45"/>
        <v>0</v>
      </c>
      <c r="X84" s="51" t="str">
        <f t="shared" si="45"/>
        <v>0</v>
      </c>
      <c r="Y84" s="51" t="str">
        <f t="shared" si="45"/>
        <v>0</v>
      </c>
      <c r="Z84" s="51" t="str">
        <f t="shared" si="45"/>
        <v>0</v>
      </c>
      <c r="AA84" s="51" t="str">
        <f t="shared" si="45"/>
        <v>0</v>
      </c>
    </row>
    <row r="85" spans="1:27" ht="12" customHeight="1">
      <c r="A85" s="13" t="s">
        <v>694</v>
      </c>
      <c r="B85" s="13" t="s">
        <v>77</v>
      </c>
      <c r="C85" s="13" t="s">
        <v>167</v>
      </c>
      <c r="D85" s="13" t="s">
        <v>721</v>
      </c>
      <c r="E85" s="39"/>
      <c r="F85" s="39"/>
      <c r="G85" s="39"/>
      <c r="H85" s="39"/>
      <c r="I85" s="39"/>
      <c r="J85" s="39"/>
      <c r="K85" s="39"/>
      <c r="L85" s="39"/>
      <c r="M85" s="39"/>
      <c r="N85" s="39"/>
      <c r="O85" s="39"/>
      <c r="P85" s="39"/>
      <c r="Q85" s="39"/>
      <c r="R85" s="39"/>
      <c r="S85" s="39"/>
      <c r="T85" s="39"/>
      <c r="U85" s="39"/>
      <c r="V85" s="15">
        <v>5</v>
      </c>
      <c r="W85" s="15">
        <v>5</v>
      </c>
      <c r="X85" s="15">
        <v>10</v>
      </c>
      <c r="Y85" s="15">
        <v>10</v>
      </c>
      <c r="Z85" s="15">
        <v>5</v>
      </c>
      <c r="AA85" s="15">
        <v>5</v>
      </c>
    </row>
    <row r="86" spans="1:27" ht="12" customHeight="1">
      <c r="A86" s="13" t="s">
        <v>694</v>
      </c>
      <c r="B86" s="13" t="s">
        <v>77</v>
      </c>
      <c r="C86" s="13" t="s">
        <v>699</v>
      </c>
      <c r="E86" s="39"/>
      <c r="F86" s="39"/>
      <c r="G86" s="39"/>
      <c r="H86" s="39"/>
      <c r="I86" s="39"/>
      <c r="J86" s="39"/>
      <c r="K86" s="39"/>
      <c r="L86" s="39"/>
      <c r="M86" s="39"/>
      <c r="N86" s="39"/>
      <c r="O86" s="39"/>
      <c r="P86" s="39"/>
      <c r="Q86" s="39"/>
      <c r="R86" s="39"/>
      <c r="S86" s="39"/>
      <c r="T86" s="39"/>
      <c r="U86" s="39"/>
      <c r="V86" s="15">
        <v>0</v>
      </c>
      <c r="W86" s="15">
        <v>0</v>
      </c>
      <c r="X86" s="15">
        <v>5</v>
      </c>
      <c r="Y86" s="15">
        <v>5</v>
      </c>
      <c r="Z86" s="15">
        <v>5</v>
      </c>
      <c r="AA86" s="15">
        <v>5</v>
      </c>
    </row>
    <row r="87" spans="1:27" ht="12" customHeight="1">
      <c r="A87" s="13" t="s">
        <v>694</v>
      </c>
      <c r="B87" s="13" t="s">
        <v>77</v>
      </c>
      <c r="C87" s="13" t="s">
        <v>711</v>
      </c>
      <c r="E87" s="39"/>
      <c r="F87" s="39"/>
      <c r="G87" s="39"/>
      <c r="H87" s="39"/>
      <c r="I87" s="39"/>
      <c r="J87" s="39"/>
      <c r="K87" s="39"/>
      <c r="L87" s="39"/>
      <c r="M87" s="39"/>
      <c r="N87" s="39"/>
      <c r="O87" s="39"/>
      <c r="P87" s="39"/>
      <c r="Q87" s="39"/>
      <c r="R87" s="39"/>
      <c r="S87" s="39"/>
      <c r="T87" s="39"/>
      <c r="U87" s="39"/>
      <c r="V87" s="15">
        <v>0</v>
      </c>
      <c r="W87" s="15">
        <v>0</v>
      </c>
      <c r="X87" s="15">
        <v>5</v>
      </c>
      <c r="Y87" s="15">
        <v>5</v>
      </c>
      <c r="Z87" s="15">
        <v>5</v>
      </c>
      <c r="AA87" s="15">
        <v>5</v>
      </c>
    </row>
    <row r="88" spans="1:27" ht="12" customHeight="1">
      <c r="A88" s="13" t="s">
        <v>694</v>
      </c>
      <c r="B88" s="13" t="s">
        <v>77</v>
      </c>
      <c r="C88" s="13" t="s">
        <v>706</v>
      </c>
      <c r="E88" s="15">
        <v>10</v>
      </c>
      <c r="F88" s="15">
        <v>10</v>
      </c>
      <c r="G88" s="15">
        <v>10</v>
      </c>
      <c r="H88" s="15">
        <v>10</v>
      </c>
      <c r="I88" s="15">
        <v>10</v>
      </c>
      <c r="J88" s="15">
        <v>10</v>
      </c>
      <c r="K88" s="15">
        <v>10</v>
      </c>
      <c r="L88" s="15">
        <v>10</v>
      </c>
      <c r="M88" s="15">
        <v>20</v>
      </c>
      <c r="N88" s="15">
        <v>10</v>
      </c>
      <c r="O88" s="15">
        <v>5</v>
      </c>
      <c r="P88" s="15">
        <v>10</v>
      </c>
      <c r="Q88" s="15">
        <v>10</v>
      </c>
      <c r="R88" s="15">
        <v>15</v>
      </c>
      <c r="S88" s="15">
        <v>15</v>
      </c>
      <c r="T88" s="15">
        <v>15</v>
      </c>
      <c r="U88" s="15">
        <v>15</v>
      </c>
      <c r="V88" s="15">
        <v>10</v>
      </c>
      <c r="W88" s="15">
        <v>10</v>
      </c>
      <c r="X88" s="15">
        <v>5</v>
      </c>
      <c r="Y88" s="15">
        <v>5</v>
      </c>
      <c r="Z88" s="15">
        <v>5</v>
      </c>
      <c r="AA88" s="15">
        <v>5</v>
      </c>
    </row>
    <row r="89" spans="1:27" ht="12" customHeight="1">
      <c r="A89" s="13" t="s">
        <v>694</v>
      </c>
      <c r="B89" s="13" t="s">
        <v>77</v>
      </c>
      <c r="C89" s="13" t="s">
        <v>712</v>
      </c>
      <c r="E89" s="15">
        <v>10</v>
      </c>
      <c r="F89" s="15">
        <v>10</v>
      </c>
      <c r="G89" s="15">
        <v>10</v>
      </c>
      <c r="H89" s="15">
        <v>10</v>
      </c>
      <c r="I89" s="15">
        <v>10</v>
      </c>
      <c r="J89" s="15">
        <v>10</v>
      </c>
      <c r="K89" s="15">
        <v>10</v>
      </c>
      <c r="L89" s="15">
        <v>10</v>
      </c>
      <c r="M89" s="15">
        <v>15</v>
      </c>
      <c r="N89" s="15">
        <v>20</v>
      </c>
      <c r="O89" s="15">
        <v>30</v>
      </c>
      <c r="P89" s="15">
        <v>25</v>
      </c>
      <c r="Q89" s="15">
        <v>20</v>
      </c>
      <c r="R89" s="15">
        <v>15</v>
      </c>
      <c r="S89" s="15">
        <v>20</v>
      </c>
      <c r="T89" s="15">
        <v>15</v>
      </c>
      <c r="U89" s="15">
        <v>15</v>
      </c>
      <c r="V89" s="15">
        <v>15</v>
      </c>
      <c r="W89" s="15">
        <v>15</v>
      </c>
      <c r="X89" s="15">
        <v>15</v>
      </c>
      <c r="Y89" s="15">
        <v>15</v>
      </c>
      <c r="Z89" s="15">
        <v>10</v>
      </c>
      <c r="AA89" s="15">
        <v>10</v>
      </c>
    </row>
    <row r="90" spans="1:27" ht="12" customHeight="1">
      <c r="A90" s="13" t="s">
        <v>694</v>
      </c>
      <c r="B90" s="13" t="s">
        <v>77</v>
      </c>
      <c r="C90" s="15" t="s">
        <v>151</v>
      </c>
      <c r="D90" s="39"/>
      <c r="E90" s="50">
        <v>8</v>
      </c>
      <c r="F90" s="50">
        <v>15</v>
      </c>
      <c r="G90" s="50">
        <v>14</v>
      </c>
      <c r="H90" s="50">
        <v>14</v>
      </c>
      <c r="I90" s="50">
        <v>14</v>
      </c>
      <c r="J90" s="50">
        <v>14</v>
      </c>
      <c r="K90" s="50">
        <v>14</v>
      </c>
      <c r="L90" s="50">
        <v>0</v>
      </c>
      <c r="M90" s="50">
        <v>14</v>
      </c>
      <c r="N90" s="50">
        <v>14</v>
      </c>
      <c r="O90" s="50">
        <v>14</v>
      </c>
      <c r="P90" s="50">
        <v>14</v>
      </c>
      <c r="Q90" s="50">
        <v>0</v>
      </c>
      <c r="R90" s="50">
        <v>14</v>
      </c>
      <c r="S90" s="50">
        <v>10</v>
      </c>
      <c r="T90" s="50">
        <v>32</v>
      </c>
      <c r="U90" s="50">
        <v>32</v>
      </c>
      <c r="V90" s="50">
        <v>32</v>
      </c>
      <c r="W90" s="50">
        <v>12</v>
      </c>
      <c r="X90" s="50">
        <v>0</v>
      </c>
      <c r="Y90" s="50">
        <v>7</v>
      </c>
      <c r="Z90" s="50">
        <v>0</v>
      </c>
      <c r="AA90" s="50">
        <v>0</v>
      </c>
    </row>
    <row r="91" spans="1:27" ht="12" customHeight="1">
      <c r="A91" s="45" t="str">
        <f aca="true" t="shared" si="46" ref="A91:B91">A89</f>
        <v>svc</v>
      </c>
      <c r="B91" s="70" t="str">
        <f t="shared" si="46"/>
        <v>WChambers</v>
      </c>
      <c r="C91" s="47" t="str">
        <f>"TOTAL Avail: "&amp;B91</f>
        <v>TOTAL Avail: WChambers</v>
      </c>
      <c r="D91" s="49"/>
      <c r="E91" s="51" t="str">
        <f aca="true" t="shared" si="47" ref="E91:S91">SUM(E88:E89)</f>
        <v>20</v>
      </c>
      <c r="F91" s="51" t="str">
        <f t="shared" si="47"/>
        <v>20</v>
      </c>
      <c r="G91" s="51" t="str">
        <f t="shared" si="47"/>
        <v>20</v>
      </c>
      <c r="H91" s="51" t="str">
        <f t="shared" si="47"/>
        <v>20</v>
      </c>
      <c r="I91" s="51" t="str">
        <f t="shared" si="47"/>
        <v>20</v>
      </c>
      <c r="J91" s="51" t="str">
        <f t="shared" si="47"/>
        <v>20</v>
      </c>
      <c r="K91" s="51" t="str">
        <f t="shared" si="47"/>
        <v>20</v>
      </c>
      <c r="L91" s="51" t="str">
        <f t="shared" si="47"/>
        <v>20</v>
      </c>
      <c r="M91" s="51" t="str">
        <f t="shared" si="47"/>
        <v>35</v>
      </c>
      <c r="N91" s="51" t="str">
        <f t="shared" si="47"/>
        <v>30</v>
      </c>
      <c r="O91" s="51" t="str">
        <f t="shared" si="47"/>
        <v>35</v>
      </c>
      <c r="P91" s="51" t="str">
        <f t="shared" si="47"/>
        <v>35</v>
      </c>
      <c r="Q91" s="51" t="str">
        <f t="shared" si="47"/>
        <v>30</v>
      </c>
      <c r="R91" s="51" t="str">
        <f t="shared" si="47"/>
        <v>30</v>
      </c>
      <c r="S91" s="51" t="str">
        <f t="shared" si="47"/>
        <v>35</v>
      </c>
      <c r="T91" s="51" t="str">
        <f aca="true" t="shared" si="48" ref="T91:U91">32-SUM(T88:T89)</f>
        <v>2</v>
      </c>
      <c r="U91" s="51" t="str">
        <f t="shared" si="48"/>
        <v>2</v>
      </c>
      <c r="V91" s="51" t="str">
        <f aca="true" t="shared" si="49" ref="V91:W91">32-SUM(V85:V89)</f>
        <v>2</v>
      </c>
      <c r="W91" s="51" t="str">
        <f t="shared" si="49"/>
        <v>2</v>
      </c>
      <c r="X91" s="51" t="str">
        <f aca="true" t="shared" si="50" ref="X91:AA91">32-SUM(X85:X90)</f>
        <v>-8</v>
      </c>
      <c r="Y91" s="51" t="str">
        <f t="shared" si="50"/>
        <v>-15</v>
      </c>
      <c r="Z91" s="51" t="str">
        <f t="shared" si="50"/>
        <v>2</v>
      </c>
      <c r="AA91" s="51" t="str">
        <f t="shared" si="50"/>
        <v>2</v>
      </c>
    </row>
    <row r="92" spans="1:27" ht="12" customHeight="1">
      <c r="A92" s="13" t="s">
        <v>694</v>
      </c>
      <c r="B92" s="13" t="s">
        <v>79</v>
      </c>
      <c r="C92" s="13" t="s">
        <v>42</v>
      </c>
      <c r="E92" s="15">
        <v>10</v>
      </c>
      <c r="F92" s="15">
        <v>5</v>
      </c>
      <c r="G92" s="15">
        <v>5</v>
      </c>
      <c r="H92" s="15">
        <v>5</v>
      </c>
      <c r="I92" s="15">
        <v>5</v>
      </c>
      <c r="J92" s="15">
        <v>5</v>
      </c>
      <c r="K92" s="15">
        <v>5</v>
      </c>
      <c r="L92" s="15">
        <v>5</v>
      </c>
      <c r="M92" s="15">
        <v>5</v>
      </c>
      <c r="N92" s="15">
        <v>0</v>
      </c>
      <c r="O92" s="15">
        <v>0</v>
      </c>
      <c r="P92" s="15">
        <v>0</v>
      </c>
      <c r="Q92" s="15">
        <v>0</v>
      </c>
      <c r="R92" s="15">
        <v>0</v>
      </c>
      <c r="S92" s="15">
        <v>0</v>
      </c>
      <c r="T92" s="15">
        <v>0</v>
      </c>
      <c r="U92" s="15">
        <v>2</v>
      </c>
      <c r="V92" s="15">
        <v>2</v>
      </c>
      <c r="W92" s="15">
        <v>2</v>
      </c>
      <c r="X92" s="15">
        <v>2</v>
      </c>
      <c r="Y92" s="15">
        <v>2</v>
      </c>
      <c r="Z92" s="15">
        <v>2</v>
      </c>
      <c r="AA92" s="15">
        <v>2</v>
      </c>
    </row>
    <row r="93" spans="1:27" ht="12" customHeight="1">
      <c r="A93" s="13" t="s">
        <v>694</v>
      </c>
      <c r="B93" s="13" t="s">
        <v>79</v>
      </c>
      <c r="C93" s="13" t="s">
        <v>496</v>
      </c>
      <c r="D93" s="13" t="s">
        <v>743</v>
      </c>
      <c r="E93" s="15">
        <v>10</v>
      </c>
      <c r="F93" s="15">
        <v>10</v>
      </c>
      <c r="G93" s="15">
        <v>10</v>
      </c>
      <c r="H93" s="15">
        <v>10</v>
      </c>
      <c r="I93" s="15">
        <v>10</v>
      </c>
      <c r="J93" s="15">
        <v>10</v>
      </c>
      <c r="K93" s="15">
        <v>10</v>
      </c>
      <c r="L93" s="15">
        <v>10</v>
      </c>
      <c r="M93" s="15">
        <v>10</v>
      </c>
      <c r="N93" s="15">
        <v>10</v>
      </c>
      <c r="O93" s="15">
        <v>10</v>
      </c>
      <c r="P93" s="15">
        <v>10</v>
      </c>
      <c r="Q93" s="15">
        <v>10</v>
      </c>
      <c r="R93" s="15">
        <v>10</v>
      </c>
      <c r="S93" s="15">
        <v>10</v>
      </c>
      <c r="T93" s="15">
        <v>10</v>
      </c>
      <c r="U93" s="15">
        <v>8</v>
      </c>
      <c r="V93" s="15">
        <v>11</v>
      </c>
      <c r="W93" s="15">
        <v>6</v>
      </c>
      <c r="X93" s="15">
        <v>6</v>
      </c>
      <c r="Y93" s="15">
        <v>6</v>
      </c>
      <c r="Z93" s="15">
        <v>6</v>
      </c>
      <c r="AA93" s="15">
        <v>6</v>
      </c>
    </row>
    <row r="94" spans="1:27" ht="12" customHeight="1">
      <c r="A94" s="13" t="s">
        <v>694</v>
      </c>
      <c r="B94" s="13" t="s">
        <v>79</v>
      </c>
      <c r="C94" s="13" t="s">
        <v>496</v>
      </c>
      <c r="D94" s="13" t="s">
        <v>746</v>
      </c>
      <c r="E94" s="39"/>
      <c r="F94" s="39"/>
      <c r="G94" s="15">
        <v>5</v>
      </c>
      <c r="H94" s="15">
        <v>5</v>
      </c>
      <c r="I94" s="15">
        <v>5</v>
      </c>
      <c r="J94" s="15">
        <v>5</v>
      </c>
      <c r="K94" s="15">
        <v>5</v>
      </c>
      <c r="L94" s="15">
        <v>5</v>
      </c>
      <c r="M94" s="15">
        <v>5</v>
      </c>
      <c r="N94" s="15">
        <v>10</v>
      </c>
      <c r="O94" s="15">
        <v>5</v>
      </c>
      <c r="P94" s="15">
        <v>10</v>
      </c>
      <c r="Q94" s="15">
        <v>10</v>
      </c>
      <c r="R94" s="15">
        <v>10</v>
      </c>
      <c r="S94" s="15">
        <v>10</v>
      </c>
      <c r="T94" s="15">
        <v>10</v>
      </c>
      <c r="U94" s="15">
        <v>10</v>
      </c>
      <c r="V94" s="15">
        <v>10</v>
      </c>
      <c r="W94" s="15">
        <v>0</v>
      </c>
      <c r="X94" s="15">
        <v>0</v>
      </c>
      <c r="Y94" s="15">
        <v>0</v>
      </c>
      <c r="Z94" s="15">
        <v>0</v>
      </c>
      <c r="AA94" s="15">
        <v>0</v>
      </c>
    </row>
    <row r="95" spans="1:27" ht="12" customHeight="1">
      <c r="A95" s="13" t="s">
        <v>694</v>
      </c>
      <c r="B95" s="13" t="s">
        <v>79</v>
      </c>
      <c r="C95" s="13" t="s">
        <v>496</v>
      </c>
      <c r="D95" s="13" t="s">
        <v>747</v>
      </c>
      <c r="E95" s="15">
        <v>10</v>
      </c>
      <c r="F95" s="15">
        <v>10</v>
      </c>
      <c r="G95" s="15">
        <v>10</v>
      </c>
      <c r="H95" s="15">
        <v>10</v>
      </c>
      <c r="I95" s="15">
        <v>10</v>
      </c>
      <c r="J95" s="15">
        <v>10</v>
      </c>
      <c r="K95" s="15">
        <v>10</v>
      </c>
      <c r="L95" s="15">
        <v>10</v>
      </c>
      <c r="M95" s="15">
        <v>10</v>
      </c>
      <c r="N95" s="15">
        <v>10</v>
      </c>
      <c r="O95" s="15">
        <v>10</v>
      </c>
      <c r="P95" s="15">
        <v>10</v>
      </c>
      <c r="Q95" s="15">
        <v>10</v>
      </c>
      <c r="R95" s="15">
        <v>10</v>
      </c>
      <c r="S95" s="15">
        <v>6</v>
      </c>
      <c r="T95" s="15">
        <v>6</v>
      </c>
      <c r="U95" s="15">
        <v>6</v>
      </c>
      <c r="V95" s="15">
        <v>6</v>
      </c>
      <c r="W95" s="15">
        <v>11</v>
      </c>
      <c r="X95" s="15">
        <v>11</v>
      </c>
      <c r="Y95" s="15">
        <v>6</v>
      </c>
      <c r="Z95" s="15">
        <v>6</v>
      </c>
      <c r="AA95" s="15">
        <v>6</v>
      </c>
    </row>
    <row r="96" spans="1:27" ht="12" customHeight="1">
      <c r="A96" s="13" t="s">
        <v>694</v>
      </c>
      <c r="B96" s="13" t="s">
        <v>79</v>
      </c>
      <c r="C96" s="13" t="s">
        <v>748</v>
      </c>
      <c r="D96" s="13" t="s">
        <v>749</v>
      </c>
      <c r="E96" s="39"/>
      <c r="F96" s="39"/>
      <c r="G96" s="39"/>
      <c r="H96" s="39"/>
      <c r="I96" s="39"/>
      <c r="J96" s="39"/>
      <c r="K96" s="39"/>
      <c r="L96" s="39"/>
      <c r="M96" s="39"/>
      <c r="N96" s="39"/>
      <c r="O96" s="39"/>
      <c r="P96" s="39"/>
      <c r="Q96" s="39"/>
      <c r="R96" s="39"/>
      <c r="S96" s="39"/>
      <c r="T96" s="15">
        <v>2</v>
      </c>
      <c r="U96" s="15">
        <v>2</v>
      </c>
      <c r="V96" s="15">
        <v>2</v>
      </c>
      <c r="W96" s="15">
        <v>2</v>
      </c>
      <c r="X96" s="15">
        <v>2</v>
      </c>
      <c r="Y96" s="15">
        <v>2</v>
      </c>
      <c r="Z96" s="15">
        <v>2</v>
      </c>
      <c r="AA96" s="15">
        <v>2</v>
      </c>
    </row>
    <row r="97" spans="1:27" ht="12" customHeight="1">
      <c r="A97" s="13" t="s">
        <v>694</v>
      </c>
      <c r="B97" s="13" t="s">
        <v>79</v>
      </c>
      <c r="C97" s="13" t="s">
        <v>750</v>
      </c>
      <c r="D97" s="13" t="s">
        <v>259</v>
      </c>
      <c r="E97" s="39"/>
      <c r="F97" s="39"/>
      <c r="G97" s="39"/>
      <c r="H97" s="39"/>
      <c r="I97" s="39"/>
      <c r="J97" s="39"/>
      <c r="K97" s="39"/>
      <c r="L97" s="39"/>
      <c r="M97" s="39"/>
      <c r="N97" s="39"/>
      <c r="O97" s="39"/>
      <c r="P97" s="15">
        <v>8</v>
      </c>
      <c r="Q97" s="15">
        <v>8</v>
      </c>
      <c r="R97" s="15">
        <v>8</v>
      </c>
      <c r="S97" s="15">
        <v>8</v>
      </c>
      <c r="T97" s="15">
        <v>4</v>
      </c>
      <c r="U97" s="15">
        <v>4</v>
      </c>
      <c r="V97" s="15">
        <v>4</v>
      </c>
      <c r="W97" s="15">
        <v>9</v>
      </c>
      <c r="X97" s="15">
        <v>9</v>
      </c>
      <c r="Y97" s="15">
        <v>4</v>
      </c>
      <c r="Z97" s="15">
        <v>4</v>
      </c>
      <c r="AA97" s="15">
        <v>4</v>
      </c>
    </row>
    <row r="98" spans="1:27" ht="12" customHeight="1">
      <c r="A98" s="13" t="s">
        <v>694</v>
      </c>
      <c r="B98" s="13" t="s">
        <v>79</v>
      </c>
      <c r="C98" s="15" t="s">
        <v>151</v>
      </c>
      <c r="D98" s="39"/>
      <c r="E98" s="50">
        <v>8</v>
      </c>
      <c r="F98" s="50">
        <v>15</v>
      </c>
      <c r="G98" s="50">
        <v>14</v>
      </c>
      <c r="H98" s="50">
        <v>14</v>
      </c>
      <c r="I98" s="50">
        <v>14</v>
      </c>
      <c r="J98" s="50">
        <v>14</v>
      </c>
      <c r="K98" s="50">
        <v>14</v>
      </c>
      <c r="L98" s="50">
        <v>0</v>
      </c>
      <c r="M98" s="50">
        <v>14</v>
      </c>
      <c r="N98" s="50">
        <v>14</v>
      </c>
      <c r="O98" s="50">
        <v>14</v>
      </c>
      <c r="P98" s="50">
        <v>14</v>
      </c>
      <c r="Q98" s="50">
        <v>0</v>
      </c>
      <c r="R98" s="50">
        <v>14</v>
      </c>
      <c r="S98" s="50">
        <v>10</v>
      </c>
      <c r="T98" s="50">
        <v>32</v>
      </c>
      <c r="U98" s="50">
        <v>32</v>
      </c>
      <c r="V98" s="50">
        <v>32</v>
      </c>
      <c r="W98" s="50">
        <v>12</v>
      </c>
      <c r="X98" s="50">
        <v>0</v>
      </c>
      <c r="Y98" s="50">
        <v>7</v>
      </c>
      <c r="Z98" s="50">
        <v>0</v>
      </c>
      <c r="AA98" s="50">
        <v>0</v>
      </c>
    </row>
    <row r="99" spans="1:27" ht="12" customHeight="1">
      <c r="A99" s="45" t="str">
        <f aca="true" t="shared" si="51" ref="A99:B99">A93</f>
        <v>svc</v>
      </c>
      <c r="B99" s="70" t="str">
        <f t="shared" si="51"/>
        <v>HNemann</v>
      </c>
      <c r="C99" s="47" t="str">
        <f>"TOTAL Avail: "&amp;B99</f>
        <v>TOTAL Avail: HNemann</v>
      </c>
      <c r="D99" s="49"/>
      <c r="E99" s="51" t="str">
        <f aca="true" t="shared" si="52" ref="E99:F99">SUM(E92:E93)</f>
        <v>20</v>
      </c>
      <c r="F99" s="51" t="str">
        <f t="shared" si="52"/>
        <v>15</v>
      </c>
      <c r="G99" s="51" t="str">
        <f aca="true" t="shared" si="53" ref="G99:R99">SUM(G92:G95)</f>
        <v>30</v>
      </c>
      <c r="H99" s="51" t="str">
        <f t="shared" si="53"/>
        <v>30</v>
      </c>
      <c r="I99" s="51" t="str">
        <f t="shared" si="53"/>
        <v>30</v>
      </c>
      <c r="J99" s="51" t="str">
        <f t="shared" si="53"/>
        <v>30</v>
      </c>
      <c r="K99" s="51" t="str">
        <f t="shared" si="53"/>
        <v>30</v>
      </c>
      <c r="L99" s="51" t="str">
        <f t="shared" si="53"/>
        <v>30</v>
      </c>
      <c r="M99" s="51" t="str">
        <f t="shared" si="53"/>
        <v>30</v>
      </c>
      <c r="N99" s="51" t="str">
        <f t="shared" si="53"/>
        <v>30</v>
      </c>
      <c r="O99" s="51" t="str">
        <f t="shared" si="53"/>
        <v>25</v>
      </c>
      <c r="P99" s="51" t="str">
        <f t="shared" si="53"/>
        <v>30</v>
      </c>
      <c r="Q99" s="51" t="str">
        <f t="shared" si="53"/>
        <v>30</v>
      </c>
      <c r="R99" s="51" t="str">
        <f t="shared" si="53"/>
        <v>30</v>
      </c>
      <c r="S99" s="51" t="str">
        <f>SUM(S92:S97)</f>
        <v>34</v>
      </c>
      <c r="T99" s="51" t="str">
        <f aca="true" t="shared" si="54" ref="T99:W99">32-SUM(T92:T97)</f>
        <v>0</v>
      </c>
      <c r="U99" s="51" t="str">
        <f t="shared" si="54"/>
        <v>0</v>
      </c>
      <c r="V99" s="51" t="str">
        <f t="shared" si="54"/>
        <v>-3</v>
      </c>
      <c r="W99" s="51" t="str">
        <f t="shared" si="54"/>
        <v>2</v>
      </c>
      <c r="X99" s="51" t="str">
        <f aca="true" t="shared" si="55" ref="X99:AA99">32-SUM(X92:X98)</f>
        <v>2</v>
      </c>
      <c r="Y99" s="51" t="str">
        <f t="shared" si="55"/>
        <v>5</v>
      </c>
      <c r="Z99" s="51" t="str">
        <f t="shared" si="55"/>
        <v>12</v>
      </c>
      <c r="AA99" s="51" t="str">
        <f t="shared" si="55"/>
        <v>12</v>
      </c>
    </row>
    <row r="100" spans="1:27" ht="12" customHeight="1">
      <c r="A100" s="13" t="s">
        <v>694</v>
      </c>
      <c r="B100" s="13" t="s">
        <v>81</v>
      </c>
      <c r="C100" s="15" t="s">
        <v>537</v>
      </c>
      <c r="E100" s="15">
        <v>10</v>
      </c>
      <c r="F100" s="15">
        <v>10</v>
      </c>
      <c r="G100" s="15">
        <v>10</v>
      </c>
      <c r="H100" s="15">
        <v>10</v>
      </c>
      <c r="I100" s="15">
        <v>10</v>
      </c>
      <c r="J100" s="15">
        <v>10</v>
      </c>
      <c r="K100" s="15">
        <v>10</v>
      </c>
      <c r="L100" s="15">
        <v>10</v>
      </c>
      <c r="M100" s="15">
        <v>0</v>
      </c>
      <c r="N100" s="15">
        <v>10</v>
      </c>
      <c r="O100" s="15">
        <v>0</v>
      </c>
      <c r="P100" s="15">
        <v>0</v>
      </c>
      <c r="Q100" s="15">
        <v>0</v>
      </c>
      <c r="R100" s="15">
        <v>0</v>
      </c>
      <c r="S100" s="15">
        <v>0</v>
      </c>
      <c r="T100" s="15">
        <v>0</v>
      </c>
      <c r="U100" s="15">
        <v>0</v>
      </c>
      <c r="V100" s="15">
        <v>0</v>
      </c>
      <c r="W100" s="15">
        <v>0</v>
      </c>
      <c r="X100" s="15">
        <v>0</v>
      </c>
      <c r="Y100" s="15">
        <v>0</v>
      </c>
      <c r="Z100" s="15">
        <v>0</v>
      </c>
      <c r="AA100" s="15">
        <v>0</v>
      </c>
    </row>
    <row r="101" spans="1:27" ht="12" customHeight="1">
      <c r="A101" s="13" t="s">
        <v>694</v>
      </c>
      <c r="B101" s="13" t="s">
        <v>81</v>
      </c>
      <c r="C101" s="13" t="s">
        <v>731</v>
      </c>
      <c r="E101" s="15">
        <v>5</v>
      </c>
      <c r="F101" s="15">
        <v>5</v>
      </c>
      <c r="G101" s="15">
        <v>5</v>
      </c>
      <c r="H101" s="15">
        <v>5</v>
      </c>
      <c r="I101" s="15">
        <v>5</v>
      </c>
      <c r="J101" s="15">
        <v>5</v>
      </c>
      <c r="K101" s="15">
        <v>5</v>
      </c>
      <c r="L101" s="15">
        <v>5</v>
      </c>
      <c r="M101" s="15">
        <v>5</v>
      </c>
      <c r="N101" s="15">
        <v>5</v>
      </c>
      <c r="O101" s="15">
        <v>5</v>
      </c>
      <c r="P101" s="15">
        <v>5</v>
      </c>
      <c r="Q101" s="15">
        <v>5</v>
      </c>
      <c r="R101" s="15">
        <v>5</v>
      </c>
      <c r="S101" s="15">
        <v>5</v>
      </c>
      <c r="T101" s="15">
        <v>5</v>
      </c>
      <c r="U101" s="15">
        <v>5</v>
      </c>
      <c r="V101" s="15">
        <v>5</v>
      </c>
      <c r="W101" s="15">
        <v>5</v>
      </c>
      <c r="X101" s="15">
        <v>5</v>
      </c>
      <c r="Y101" s="15">
        <v>5</v>
      </c>
      <c r="Z101" s="15">
        <v>5</v>
      </c>
      <c r="AA101" s="15">
        <v>5</v>
      </c>
    </row>
    <row r="102" spans="1:27" ht="12" customHeight="1">
      <c r="A102" s="13" t="s">
        <v>694</v>
      </c>
      <c r="B102" s="13" t="s">
        <v>81</v>
      </c>
      <c r="C102" s="13" t="s">
        <v>545</v>
      </c>
      <c r="D102" s="13" t="s">
        <v>544</v>
      </c>
      <c r="E102" s="15">
        <v>10</v>
      </c>
      <c r="F102" s="15">
        <v>10</v>
      </c>
      <c r="G102" s="15">
        <v>10</v>
      </c>
      <c r="H102" s="15">
        <v>10</v>
      </c>
      <c r="I102" s="15">
        <v>10</v>
      </c>
      <c r="J102" s="15">
        <v>10</v>
      </c>
      <c r="K102" s="15">
        <v>10</v>
      </c>
      <c r="L102" s="15">
        <v>15</v>
      </c>
      <c r="M102" s="15">
        <v>20</v>
      </c>
      <c r="N102" s="15">
        <v>10</v>
      </c>
      <c r="O102" s="15">
        <v>20</v>
      </c>
      <c r="P102" s="15">
        <v>25</v>
      </c>
      <c r="Q102" s="15">
        <v>25</v>
      </c>
      <c r="R102" s="15">
        <v>20</v>
      </c>
      <c r="S102" s="15">
        <v>20</v>
      </c>
      <c r="T102" s="15">
        <v>20</v>
      </c>
      <c r="U102" s="15">
        <v>20</v>
      </c>
      <c r="V102" s="15">
        <v>20</v>
      </c>
      <c r="W102" s="15">
        <v>20</v>
      </c>
      <c r="X102" s="15">
        <v>20</v>
      </c>
      <c r="Y102" s="15">
        <v>20</v>
      </c>
      <c r="Z102" s="15">
        <v>20</v>
      </c>
      <c r="AA102" s="15">
        <v>20</v>
      </c>
    </row>
    <row r="103" spans="1:27" ht="12" customHeight="1">
      <c r="A103" s="13" t="s">
        <v>694</v>
      </c>
      <c r="B103" s="13" t="s">
        <v>81</v>
      </c>
      <c r="C103" s="15" t="s">
        <v>151</v>
      </c>
      <c r="D103" s="39"/>
      <c r="E103" s="50">
        <v>8</v>
      </c>
      <c r="F103" s="50">
        <v>15</v>
      </c>
      <c r="G103" s="50">
        <v>14</v>
      </c>
      <c r="H103" s="50">
        <v>14</v>
      </c>
      <c r="I103" s="50">
        <v>14</v>
      </c>
      <c r="J103" s="50">
        <v>14</v>
      </c>
      <c r="K103" s="50">
        <v>14</v>
      </c>
      <c r="L103" s="50">
        <v>0</v>
      </c>
      <c r="M103" s="50">
        <v>14</v>
      </c>
      <c r="N103" s="50">
        <v>14</v>
      </c>
      <c r="O103" s="50">
        <v>14</v>
      </c>
      <c r="P103" s="50">
        <v>14</v>
      </c>
      <c r="Q103" s="50">
        <v>0</v>
      </c>
      <c r="R103" s="50">
        <v>14</v>
      </c>
      <c r="S103" s="50">
        <v>10</v>
      </c>
      <c r="T103" s="50">
        <v>32</v>
      </c>
      <c r="U103" s="50">
        <v>32</v>
      </c>
      <c r="V103" s="50">
        <v>32</v>
      </c>
      <c r="W103" s="50">
        <v>12</v>
      </c>
      <c r="X103" s="50">
        <v>0</v>
      </c>
      <c r="Y103" s="50">
        <v>7</v>
      </c>
      <c r="Z103" s="50">
        <v>0</v>
      </c>
      <c r="AA103" s="50">
        <v>0</v>
      </c>
    </row>
    <row r="104" spans="1:27" ht="12" customHeight="1">
      <c r="A104" s="45" t="str">
        <f aca="true" t="shared" si="56" ref="A104:B104">A101</f>
        <v>svc</v>
      </c>
      <c r="B104" s="70" t="str">
        <f t="shared" si="56"/>
        <v>MSampson</v>
      </c>
      <c r="C104" s="47" t="str">
        <f>"TOTAL Avail: "&amp;B104</f>
        <v>TOTAL Avail: MSampson</v>
      </c>
      <c r="D104" s="49"/>
      <c r="E104" s="51" t="str">
        <f aca="true" t="shared" si="57" ref="E104:S104">SUM(E100:E102)</f>
        <v>25</v>
      </c>
      <c r="F104" s="51" t="str">
        <f t="shared" si="57"/>
        <v>25</v>
      </c>
      <c r="G104" s="51" t="str">
        <f t="shared" si="57"/>
        <v>25</v>
      </c>
      <c r="H104" s="51" t="str">
        <f t="shared" si="57"/>
        <v>25</v>
      </c>
      <c r="I104" s="51" t="str">
        <f t="shared" si="57"/>
        <v>25</v>
      </c>
      <c r="J104" s="51" t="str">
        <f t="shared" si="57"/>
        <v>25</v>
      </c>
      <c r="K104" s="51" t="str">
        <f t="shared" si="57"/>
        <v>25</v>
      </c>
      <c r="L104" s="51" t="str">
        <f t="shared" si="57"/>
        <v>30</v>
      </c>
      <c r="M104" s="51" t="str">
        <f t="shared" si="57"/>
        <v>25</v>
      </c>
      <c r="N104" s="51" t="str">
        <f t="shared" si="57"/>
        <v>25</v>
      </c>
      <c r="O104" s="51" t="str">
        <f t="shared" si="57"/>
        <v>25</v>
      </c>
      <c r="P104" s="51" t="str">
        <f t="shared" si="57"/>
        <v>30</v>
      </c>
      <c r="Q104" s="51" t="str">
        <f t="shared" si="57"/>
        <v>30</v>
      </c>
      <c r="R104" s="51" t="str">
        <f t="shared" si="57"/>
        <v>25</v>
      </c>
      <c r="S104" s="51" t="str">
        <f t="shared" si="57"/>
        <v>25</v>
      </c>
      <c r="T104" s="51" t="str">
        <f aca="true" t="shared" si="58" ref="T104:W104">32-SUM(T100:T102)</f>
        <v>7</v>
      </c>
      <c r="U104" s="51" t="str">
        <f t="shared" si="58"/>
        <v>7</v>
      </c>
      <c r="V104" s="51" t="str">
        <f t="shared" si="58"/>
        <v>7</v>
      </c>
      <c r="W104" s="51" t="str">
        <f t="shared" si="58"/>
        <v>7</v>
      </c>
      <c r="X104" s="51" t="str">
        <f aca="true" t="shared" si="59" ref="X104:AA104">32-SUM(X100:X103)</f>
        <v>7</v>
      </c>
      <c r="Y104" s="51" t="str">
        <f t="shared" si="59"/>
        <v>0</v>
      </c>
      <c r="Z104" s="51" t="str">
        <f t="shared" si="59"/>
        <v>7</v>
      </c>
      <c r="AA104" s="51" t="str">
        <f t="shared" si="59"/>
        <v>7</v>
      </c>
    </row>
    <row r="105" spans="1:27" ht="12" customHeight="1">
      <c r="A105" s="13" t="s">
        <v>694</v>
      </c>
      <c r="B105" s="13" t="s">
        <v>82</v>
      </c>
      <c r="C105" s="15" t="s">
        <v>537</v>
      </c>
      <c r="E105" s="15">
        <v>10</v>
      </c>
      <c r="F105" s="15">
        <v>10</v>
      </c>
      <c r="G105" s="15">
        <v>10</v>
      </c>
      <c r="H105" s="15">
        <v>10</v>
      </c>
      <c r="I105" s="15">
        <v>10</v>
      </c>
      <c r="J105" s="15">
        <v>10</v>
      </c>
      <c r="K105" s="15">
        <v>10</v>
      </c>
      <c r="L105" s="15">
        <v>10</v>
      </c>
      <c r="M105" s="15">
        <v>10</v>
      </c>
      <c r="N105" s="15">
        <v>10</v>
      </c>
      <c r="O105" s="15">
        <v>10</v>
      </c>
      <c r="P105" s="15">
        <v>6</v>
      </c>
      <c r="Q105" s="15">
        <v>6</v>
      </c>
      <c r="R105" s="15">
        <v>5</v>
      </c>
      <c r="S105" s="15">
        <v>2</v>
      </c>
      <c r="T105" s="15">
        <v>5</v>
      </c>
      <c r="U105" s="15">
        <v>1</v>
      </c>
      <c r="V105" s="15">
        <v>2</v>
      </c>
      <c r="W105" s="15">
        <v>2</v>
      </c>
      <c r="X105" s="15">
        <v>2</v>
      </c>
      <c r="Y105" s="15">
        <v>2</v>
      </c>
      <c r="Z105" s="15">
        <v>2</v>
      </c>
      <c r="AA105" s="15">
        <v>2</v>
      </c>
    </row>
    <row r="106" spans="1:27" ht="12" customHeight="1">
      <c r="A106" s="13" t="s">
        <v>694</v>
      </c>
      <c r="B106" s="13" t="s">
        <v>82</v>
      </c>
      <c r="C106" s="13" t="s">
        <v>560</v>
      </c>
      <c r="E106" s="15">
        <v>10</v>
      </c>
      <c r="F106" s="15">
        <v>10</v>
      </c>
      <c r="G106" s="15">
        <v>10</v>
      </c>
      <c r="H106" s="15">
        <v>0</v>
      </c>
      <c r="I106" s="15">
        <v>10</v>
      </c>
      <c r="J106" s="15">
        <v>10</v>
      </c>
      <c r="K106" s="15">
        <v>10</v>
      </c>
      <c r="L106" s="15">
        <v>10</v>
      </c>
      <c r="M106" s="15">
        <v>0</v>
      </c>
      <c r="N106" s="15">
        <v>0</v>
      </c>
      <c r="O106" s="15">
        <v>1</v>
      </c>
      <c r="P106" s="15">
        <v>2</v>
      </c>
      <c r="Q106" s="15">
        <v>2</v>
      </c>
      <c r="R106" s="15">
        <v>2</v>
      </c>
      <c r="S106" s="15">
        <v>5</v>
      </c>
      <c r="T106" s="15">
        <v>5</v>
      </c>
      <c r="U106" s="15">
        <v>10</v>
      </c>
      <c r="V106" s="15">
        <v>4</v>
      </c>
      <c r="W106" s="15">
        <v>2</v>
      </c>
      <c r="X106" s="15">
        <v>2</v>
      </c>
      <c r="Y106" s="15">
        <v>2</v>
      </c>
      <c r="Z106" s="15">
        <v>2</v>
      </c>
      <c r="AA106" s="15">
        <v>2</v>
      </c>
    </row>
    <row r="107" spans="1:27" ht="12" customHeight="1">
      <c r="A107" s="13" t="s">
        <v>694</v>
      </c>
      <c r="B107" s="13" t="s">
        <v>82</v>
      </c>
      <c r="C107" s="13" t="s">
        <v>42</v>
      </c>
      <c r="D107" s="13" t="s">
        <v>767</v>
      </c>
      <c r="E107" s="15">
        <v>10</v>
      </c>
      <c r="F107" s="15">
        <v>10</v>
      </c>
      <c r="G107" s="15">
        <v>10</v>
      </c>
      <c r="H107" s="15">
        <v>0</v>
      </c>
      <c r="I107" s="15">
        <v>10</v>
      </c>
      <c r="J107" s="15">
        <v>10</v>
      </c>
      <c r="K107" s="15">
        <v>10</v>
      </c>
      <c r="L107" s="15">
        <v>10</v>
      </c>
      <c r="M107" s="15">
        <v>0</v>
      </c>
      <c r="N107" s="15">
        <v>0</v>
      </c>
      <c r="O107" s="15">
        <v>1</v>
      </c>
      <c r="P107" s="15">
        <v>2</v>
      </c>
      <c r="Q107" s="15">
        <v>2</v>
      </c>
      <c r="R107" s="15">
        <v>2</v>
      </c>
      <c r="S107" s="15">
        <v>5</v>
      </c>
      <c r="T107" s="15">
        <v>5</v>
      </c>
      <c r="U107" s="15">
        <v>10</v>
      </c>
      <c r="V107" s="15">
        <v>8</v>
      </c>
      <c r="W107" s="15">
        <v>20</v>
      </c>
      <c r="X107" s="15">
        <v>10</v>
      </c>
      <c r="Y107" s="15">
        <v>10</v>
      </c>
      <c r="Z107" s="15">
        <v>10</v>
      </c>
      <c r="AA107" s="15">
        <v>10</v>
      </c>
    </row>
    <row r="108" spans="1:27" ht="12" customHeight="1">
      <c r="A108" s="13" t="s">
        <v>694</v>
      </c>
      <c r="B108" s="13" t="s">
        <v>82</v>
      </c>
      <c r="C108" s="13" t="s">
        <v>545</v>
      </c>
      <c r="E108" s="39"/>
      <c r="F108" s="39"/>
      <c r="G108" s="15">
        <v>2</v>
      </c>
      <c r="H108" s="15">
        <v>10</v>
      </c>
      <c r="I108" s="15">
        <v>2</v>
      </c>
      <c r="J108" s="15">
        <v>2</v>
      </c>
      <c r="K108" s="15">
        <v>2</v>
      </c>
      <c r="L108" s="15">
        <v>10</v>
      </c>
      <c r="M108" s="15">
        <v>25</v>
      </c>
      <c r="N108" s="15">
        <v>25</v>
      </c>
      <c r="O108" s="15">
        <v>24</v>
      </c>
      <c r="P108" s="15">
        <v>25</v>
      </c>
      <c r="Q108" s="15">
        <v>25</v>
      </c>
      <c r="R108" s="15">
        <v>25</v>
      </c>
      <c r="S108" s="15">
        <v>25</v>
      </c>
      <c r="T108" s="15">
        <v>20</v>
      </c>
      <c r="U108" s="15">
        <v>25</v>
      </c>
      <c r="V108" s="15">
        <v>20</v>
      </c>
      <c r="W108" s="15">
        <v>15</v>
      </c>
      <c r="X108" s="15">
        <v>20</v>
      </c>
      <c r="Y108" s="15">
        <v>20</v>
      </c>
      <c r="Z108" s="15">
        <v>20</v>
      </c>
      <c r="AA108" s="15">
        <v>20</v>
      </c>
    </row>
    <row r="109" spans="1:27" ht="12" customHeight="1">
      <c r="A109" s="13" t="s">
        <v>694</v>
      </c>
      <c r="B109" s="13" t="s">
        <v>82</v>
      </c>
      <c r="C109" s="15" t="s">
        <v>151</v>
      </c>
      <c r="D109" s="39"/>
      <c r="E109" s="50">
        <v>8</v>
      </c>
      <c r="F109" s="50">
        <v>15</v>
      </c>
      <c r="G109" s="50">
        <v>14</v>
      </c>
      <c r="H109" s="50">
        <v>14</v>
      </c>
      <c r="I109" s="50">
        <v>14</v>
      </c>
      <c r="J109" s="50">
        <v>14</v>
      </c>
      <c r="K109" s="50">
        <v>14</v>
      </c>
      <c r="L109" s="50">
        <v>0</v>
      </c>
      <c r="M109" s="50">
        <v>14</v>
      </c>
      <c r="N109" s="50">
        <v>14</v>
      </c>
      <c r="O109" s="50">
        <v>14</v>
      </c>
      <c r="P109" s="50">
        <v>14</v>
      </c>
      <c r="Q109" s="50">
        <v>0</v>
      </c>
      <c r="R109" s="50">
        <v>14</v>
      </c>
      <c r="S109" s="50">
        <v>10</v>
      </c>
      <c r="T109" s="50">
        <v>32</v>
      </c>
      <c r="U109" s="50">
        <v>32</v>
      </c>
      <c r="V109" s="50">
        <v>32</v>
      </c>
      <c r="W109" s="50">
        <v>12</v>
      </c>
      <c r="X109" s="50">
        <v>0</v>
      </c>
      <c r="Y109" s="50">
        <v>7</v>
      </c>
      <c r="Z109" s="50">
        <v>0</v>
      </c>
      <c r="AA109" s="50">
        <v>0</v>
      </c>
    </row>
    <row r="110" spans="1:27" ht="12" customHeight="1">
      <c r="A110" s="45" t="str">
        <f aca="true" t="shared" si="60" ref="A110:B110">A106</f>
        <v>svc</v>
      </c>
      <c r="B110" s="70" t="str">
        <f t="shared" si="60"/>
        <v>JGeditz</v>
      </c>
      <c r="C110" s="47" t="str">
        <f>"TOTAL Avail: "&amp;B110</f>
        <v>TOTAL Avail: JGeditz</v>
      </c>
      <c r="D110" s="49"/>
      <c r="E110" s="51" t="str">
        <f aca="true" t="shared" si="61" ref="E110:F110">SUM(E105:E106)</f>
        <v>20</v>
      </c>
      <c r="F110" s="51" t="str">
        <f t="shared" si="61"/>
        <v>20</v>
      </c>
      <c r="G110" s="51" t="str">
        <f aca="true" t="shared" si="62" ref="G110:S110">SUM(G105:G108)</f>
        <v>32</v>
      </c>
      <c r="H110" s="51" t="str">
        <f t="shared" si="62"/>
        <v>20</v>
      </c>
      <c r="I110" s="51" t="str">
        <f t="shared" si="62"/>
        <v>32</v>
      </c>
      <c r="J110" s="51" t="str">
        <f t="shared" si="62"/>
        <v>32</v>
      </c>
      <c r="K110" s="51" t="str">
        <f t="shared" si="62"/>
        <v>32</v>
      </c>
      <c r="L110" s="51" t="str">
        <f t="shared" si="62"/>
        <v>40</v>
      </c>
      <c r="M110" s="51" t="str">
        <f t="shared" si="62"/>
        <v>35</v>
      </c>
      <c r="N110" s="51" t="str">
        <f t="shared" si="62"/>
        <v>35</v>
      </c>
      <c r="O110" s="51" t="str">
        <f t="shared" si="62"/>
        <v>36</v>
      </c>
      <c r="P110" s="51" t="str">
        <f t="shared" si="62"/>
        <v>35</v>
      </c>
      <c r="Q110" s="51" t="str">
        <f t="shared" si="62"/>
        <v>35</v>
      </c>
      <c r="R110" s="51" t="str">
        <f t="shared" si="62"/>
        <v>34</v>
      </c>
      <c r="S110" s="51" t="str">
        <f t="shared" si="62"/>
        <v>37</v>
      </c>
      <c r="T110" s="51" t="str">
        <f aca="true" t="shared" si="63" ref="T110:W110">32-SUM(T105:T108)</f>
        <v>-3</v>
      </c>
      <c r="U110" s="51" t="str">
        <f t="shared" si="63"/>
        <v>-14</v>
      </c>
      <c r="V110" s="51" t="str">
        <f t="shared" si="63"/>
        <v>-2</v>
      </c>
      <c r="W110" s="51" t="str">
        <f t="shared" si="63"/>
        <v>-7</v>
      </c>
      <c r="X110" s="51" t="str">
        <f aca="true" t="shared" si="64" ref="X110:AA110">32-SUM(X105:X109)</f>
        <v>-2</v>
      </c>
      <c r="Y110" s="51" t="str">
        <f t="shared" si="64"/>
        <v>-9</v>
      </c>
      <c r="Z110" s="51" t="str">
        <f t="shared" si="64"/>
        <v>-2</v>
      </c>
      <c r="AA110" s="51" t="str">
        <f t="shared" si="64"/>
        <v>-2</v>
      </c>
    </row>
    <row r="111" spans="1:27" ht="12" customHeight="1">
      <c r="A111" s="13" t="s">
        <v>694</v>
      </c>
      <c r="B111" s="13" t="s">
        <v>88</v>
      </c>
      <c r="C111" s="13" t="s">
        <v>209</v>
      </c>
      <c r="D111" s="13" t="s">
        <v>774</v>
      </c>
      <c r="E111" s="39"/>
      <c r="F111" s="39"/>
      <c r="G111" s="39"/>
      <c r="H111" s="39"/>
      <c r="I111" s="39"/>
      <c r="J111" s="39"/>
      <c r="K111" s="39"/>
      <c r="L111" s="39"/>
      <c r="M111" s="39"/>
      <c r="N111" s="39"/>
      <c r="O111" s="39"/>
      <c r="P111" s="15">
        <v>10</v>
      </c>
      <c r="Q111" s="15">
        <v>5</v>
      </c>
      <c r="R111" s="15">
        <v>5</v>
      </c>
      <c r="S111" s="15">
        <v>10</v>
      </c>
      <c r="T111" s="15">
        <v>8</v>
      </c>
      <c r="U111" s="15">
        <v>10</v>
      </c>
      <c r="V111" s="15">
        <v>5</v>
      </c>
      <c r="W111" s="15">
        <v>7</v>
      </c>
      <c r="X111" s="15">
        <v>5</v>
      </c>
      <c r="Y111" s="15">
        <v>5</v>
      </c>
      <c r="Z111" s="15">
        <v>5</v>
      </c>
      <c r="AA111" s="15">
        <v>5</v>
      </c>
    </row>
    <row r="112" spans="1:27" ht="12" customHeight="1">
      <c r="A112" s="13" t="s">
        <v>694</v>
      </c>
      <c r="B112" s="13" t="s">
        <v>88</v>
      </c>
      <c r="C112" s="13" t="s">
        <v>167</v>
      </c>
      <c r="D112" s="13" t="s">
        <v>777</v>
      </c>
      <c r="E112" s="39"/>
      <c r="F112" s="39"/>
      <c r="G112" s="39"/>
      <c r="H112" s="39"/>
      <c r="I112" s="39"/>
      <c r="J112" s="39"/>
      <c r="K112" s="39"/>
      <c r="L112" s="39"/>
      <c r="M112" s="39"/>
      <c r="N112" s="39"/>
      <c r="O112" s="39"/>
      <c r="P112" s="39"/>
      <c r="Q112" s="39"/>
      <c r="R112" s="39"/>
      <c r="S112" s="39"/>
      <c r="T112" s="39"/>
      <c r="U112" s="39"/>
      <c r="V112" s="15">
        <v>0</v>
      </c>
      <c r="W112" s="15">
        <v>0</v>
      </c>
      <c r="X112" s="15">
        <v>10</v>
      </c>
      <c r="Y112" s="15">
        <v>10</v>
      </c>
      <c r="Z112" s="15">
        <v>5</v>
      </c>
      <c r="AA112" s="15">
        <v>5</v>
      </c>
    </row>
    <row r="113" spans="1:27" ht="12" customHeight="1">
      <c r="A113" s="13" t="s">
        <v>694</v>
      </c>
      <c r="B113" s="13" t="s">
        <v>88</v>
      </c>
      <c r="C113" s="13" t="s">
        <v>602</v>
      </c>
      <c r="E113" s="15">
        <v>10</v>
      </c>
      <c r="F113" s="15">
        <v>10</v>
      </c>
      <c r="G113" s="15">
        <v>10</v>
      </c>
      <c r="H113" s="15">
        <v>10</v>
      </c>
      <c r="I113" s="15">
        <v>10</v>
      </c>
      <c r="J113" s="15">
        <v>10</v>
      </c>
      <c r="K113" s="15">
        <v>10</v>
      </c>
      <c r="L113" s="15">
        <v>5</v>
      </c>
      <c r="M113" s="39"/>
      <c r="N113" s="15">
        <v>10</v>
      </c>
      <c r="O113" s="15">
        <v>5</v>
      </c>
      <c r="P113" s="15">
        <v>10</v>
      </c>
      <c r="Q113" s="15">
        <v>20</v>
      </c>
      <c r="R113" s="15">
        <v>20</v>
      </c>
      <c r="S113" s="15">
        <v>15</v>
      </c>
      <c r="T113" s="15">
        <v>20</v>
      </c>
      <c r="U113" s="15">
        <v>20</v>
      </c>
      <c r="V113" s="15">
        <v>20</v>
      </c>
      <c r="W113" s="15">
        <v>20</v>
      </c>
      <c r="X113" s="15">
        <v>20</v>
      </c>
      <c r="Y113" s="15">
        <v>20</v>
      </c>
      <c r="Z113" s="15">
        <v>20</v>
      </c>
      <c r="AA113" s="15">
        <v>20</v>
      </c>
    </row>
    <row r="114" spans="1:27" ht="12" customHeight="1">
      <c r="A114" s="13" t="s">
        <v>694</v>
      </c>
      <c r="B114" s="13" t="s">
        <v>88</v>
      </c>
      <c r="C114" s="13" t="s">
        <v>142</v>
      </c>
      <c r="E114" s="39"/>
      <c r="F114" s="15">
        <v>6</v>
      </c>
      <c r="G114" s="15">
        <v>6</v>
      </c>
      <c r="H114" s="15">
        <v>6</v>
      </c>
      <c r="I114" s="15">
        <v>6</v>
      </c>
      <c r="J114" s="15">
        <v>6</v>
      </c>
      <c r="K114" s="15">
        <v>6</v>
      </c>
      <c r="L114" s="15">
        <v>5</v>
      </c>
      <c r="M114" s="15">
        <v>5</v>
      </c>
      <c r="N114" s="15">
        <v>10</v>
      </c>
      <c r="O114" s="15">
        <v>10</v>
      </c>
      <c r="P114" s="15">
        <v>15</v>
      </c>
      <c r="Q114" s="15">
        <v>5</v>
      </c>
      <c r="R114" s="15">
        <v>5</v>
      </c>
      <c r="S114" s="15">
        <v>10</v>
      </c>
      <c r="T114" s="15">
        <v>5</v>
      </c>
      <c r="U114" s="15">
        <v>5</v>
      </c>
      <c r="V114" s="15">
        <v>8</v>
      </c>
      <c r="W114" s="15">
        <v>5</v>
      </c>
      <c r="X114" s="15">
        <v>5</v>
      </c>
      <c r="Y114" s="15">
        <v>5</v>
      </c>
      <c r="Z114" s="15">
        <v>5</v>
      </c>
      <c r="AA114" s="15">
        <v>5</v>
      </c>
    </row>
    <row r="115" spans="1:27" ht="12" customHeight="1">
      <c r="A115" s="13" t="s">
        <v>694</v>
      </c>
      <c r="B115" s="13" t="s">
        <v>88</v>
      </c>
      <c r="C115" s="15" t="s">
        <v>151</v>
      </c>
      <c r="D115" s="39"/>
      <c r="E115" s="50">
        <v>8</v>
      </c>
      <c r="F115" s="50">
        <v>15</v>
      </c>
      <c r="G115" s="50">
        <v>14</v>
      </c>
      <c r="H115" s="50">
        <v>14</v>
      </c>
      <c r="I115" s="50">
        <v>14</v>
      </c>
      <c r="J115" s="50">
        <v>14</v>
      </c>
      <c r="K115" s="50">
        <v>14</v>
      </c>
      <c r="L115" s="50">
        <v>0</v>
      </c>
      <c r="M115" s="50">
        <v>14</v>
      </c>
      <c r="N115" s="50">
        <v>14</v>
      </c>
      <c r="O115" s="50">
        <v>14</v>
      </c>
      <c r="P115" s="50">
        <v>14</v>
      </c>
      <c r="Q115" s="50">
        <v>0</v>
      </c>
      <c r="R115" s="50">
        <v>14</v>
      </c>
      <c r="S115" s="50">
        <v>10</v>
      </c>
      <c r="T115" s="50">
        <v>32</v>
      </c>
      <c r="U115" s="50">
        <v>32</v>
      </c>
      <c r="V115" s="50">
        <v>32</v>
      </c>
      <c r="W115" s="50">
        <v>12</v>
      </c>
      <c r="X115" s="50">
        <v>0</v>
      </c>
      <c r="Y115" s="50">
        <v>7</v>
      </c>
      <c r="Z115" s="50">
        <v>0</v>
      </c>
      <c r="AA115" s="50">
        <v>0</v>
      </c>
    </row>
    <row r="116" spans="1:27" ht="12" customHeight="1">
      <c r="A116" s="45" t="str">
        <f aca="true" t="shared" si="65" ref="A116:B116">A113</f>
        <v>svc</v>
      </c>
      <c r="B116" s="70" t="str">
        <f t="shared" si="65"/>
        <v>MFrance</v>
      </c>
      <c r="C116" s="47" t="str">
        <f>"TOTAL Avail: "&amp;B116</f>
        <v>TOTAL Avail: MFrance</v>
      </c>
      <c r="D116" s="49"/>
      <c r="E116" s="51" t="str">
        <f>SUM(E113)</f>
        <v>10</v>
      </c>
      <c r="F116" s="51" t="str">
        <f aca="true" t="shared" si="66" ref="F116:O116">SUM(F113:F114)</f>
        <v>16</v>
      </c>
      <c r="G116" s="51" t="str">
        <f t="shared" si="66"/>
        <v>16</v>
      </c>
      <c r="H116" s="51" t="str">
        <f t="shared" si="66"/>
        <v>16</v>
      </c>
      <c r="I116" s="51" t="str">
        <f t="shared" si="66"/>
        <v>16</v>
      </c>
      <c r="J116" s="51" t="str">
        <f t="shared" si="66"/>
        <v>16</v>
      </c>
      <c r="K116" s="51" t="str">
        <f t="shared" si="66"/>
        <v>16</v>
      </c>
      <c r="L116" s="51" t="str">
        <f t="shared" si="66"/>
        <v>10</v>
      </c>
      <c r="M116" s="51" t="str">
        <f t="shared" si="66"/>
        <v>5</v>
      </c>
      <c r="N116" s="51" t="str">
        <f t="shared" si="66"/>
        <v>20</v>
      </c>
      <c r="O116" s="51" t="str">
        <f t="shared" si="66"/>
        <v>15</v>
      </c>
      <c r="P116" s="51" t="str">
        <f aca="true" t="shared" si="67" ref="P116:S116">SUM(P111:P114)</f>
        <v>35</v>
      </c>
      <c r="Q116" s="51" t="str">
        <f t="shared" si="67"/>
        <v>30</v>
      </c>
      <c r="R116" s="51" t="str">
        <f t="shared" si="67"/>
        <v>30</v>
      </c>
      <c r="S116" s="51" t="str">
        <f t="shared" si="67"/>
        <v>35</v>
      </c>
      <c r="T116" s="51" t="str">
        <f aca="true" t="shared" si="68" ref="T116:W116">32-SUM(T111:T114)</f>
        <v>-1</v>
      </c>
      <c r="U116" s="51" t="str">
        <f t="shared" si="68"/>
        <v>-3</v>
      </c>
      <c r="V116" s="51" t="str">
        <f t="shared" si="68"/>
        <v>-1</v>
      </c>
      <c r="W116" s="51" t="str">
        <f t="shared" si="68"/>
        <v>0</v>
      </c>
      <c r="X116" s="51" t="str">
        <f aca="true" t="shared" si="69" ref="X116:AA116">32-SUM(X111:X115)</f>
        <v>-8</v>
      </c>
      <c r="Y116" s="51" t="str">
        <f t="shared" si="69"/>
        <v>-15</v>
      </c>
      <c r="Z116" s="51" t="str">
        <f t="shared" si="69"/>
        <v>-3</v>
      </c>
      <c r="AA116" s="51" t="str">
        <f t="shared" si="69"/>
        <v>-3</v>
      </c>
    </row>
    <row r="117" spans="1:27" ht="12" customHeight="1">
      <c r="A117" s="13" t="s">
        <v>694</v>
      </c>
      <c r="B117" s="13" t="s">
        <v>75</v>
      </c>
      <c r="C117" s="13" t="s">
        <v>42</v>
      </c>
      <c r="D117" s="15" t="s">
        <v>783</v>
      </c>
      <c r="E117" s="15">
        <v>10</v>
      </c>
      <c r="F117" s="15">
        <v>10</v>
      </c>
      <c r="G117" s="15">
        <v>0</v>
      </c>
      <c r="H117" s="15">
        <v>10</v>
      </c>
      <c r="I117" s="15">
        <v>10</v>
      </c>
      <c r="J117" s="15">
        <v>10</v>
      </c>
      <c r="K117" s="15">
        <v>10</v>
      </c>
      <c r="L117" s="15">
        <v>10</v>
      </c>
      <c r="M117" s="15">
        <v>10</v>
      </c>
      <c r="N117" s="15">
        <v>10</v>
      </c>
      <c r="O117" s="15">
        <v>10</v>
      </c>
      <c r="P117" s="15">
        <v>10</v>
      </c>
      <c r="Q117" s="15">
        <v>10</v>
      </c>
      <c r="R117" s="15">
        <v>10</v>
      </c>
      <c r="S117" s="15">
        <v>4</v>
      </c>
      <c r="T117" s="15">
        <v>2</v>
      </c>
      <c r="U117" s="15">
        <v>4</v>
      </c>
      <c r="V117" s="15">
        <v>2</v>
      </c>
      <c r="W117" s="15">
        <v>2</v>
      </c>
      <c r="X117" s="15">
        <v>2</v>
      </c>
      <c r="Y117" s="15">
        <v>2</v>
      </c>
      <c r="Z117" s="15">
        <v>2</v>
      </c>
      <c r="AA117" s="15">
        <v>2</v>
      </c>
    </row>
    <row r="118" spans="1:27" ht="12" customHeight="1">
      <c r="A118" s="13" t="s">
        <v>694</v>
      </c>
      <c r="B118" s="13" t="s">
        <v>75</v>
      </c>
      <c r="C118" s="13" t="s">
        <v>616</v>
      </c>
      <c r="D118" s="39"/>
      <c r="E118" s="15">
        <v>10</v>
      </c>
      <c r="F118" s="15">
        <v>10</v>
      </c>
      <c r="G118" s="15">
        <v>0</v>
      </c>
      <c r="H118" s="15">
        <v>10</v>
      </c>
      <c r="I118" s="15">
        <v>10</v>
      </c>
      <c r="J118" s="15">
        <v>10</v>
      </c>
      <c r="K118" s="15">
        <v>10</v>
      </c>
      <c r="L118" s="15">
        <v>10</v>
      </c>
      <c r="M118" s="15">
        <v>10</v>
      </c>
      <c r="N118" s="15">
        <v>10</v>
      </c>
      <c r="O118" s="15">
        <v>10</v>
      </c>
      <c r="P118" s="15">
        <v>10</v>
      </c>
      <c r="Q118" s="15">
        <v>10</v>
      </c>
      <c r="R118" s="15">
        <v>10</v>
      </c>
      <c r="S118" s="15">
        <v>4</v>
      </c>
      <c r="T118" s="15">
        <v>4</v>
      </c>
      <c r="U118" s="15">
        <v>2</v>
      </c>
      <c r="V118" s="15">
        <v>4</v>
      </c>
      <c r="W118" s="15">
        <v>2</v>
      </c>
      <c r="X118" s="39"/>
      <c r="Y118" s="39"/>
      <c r="Z118" s="39"/>
      <c r="AA118" s="39"/>
    </row>
    <row r="119" spans="1:27" ht="12" customHeight="1">
      <c r="A119" s="13" t="s">
        <v>694</v>
      </c>
      <c r="B119" s="13" t="s">
        <v>75</v>
      </c>
      <c r="C119" s="13" t="s">
        <v>167</v>
      </c>
      <c r="D119" s="13" t="s">
        <v>777</v>
      </c>
      <c r="E119" s="39"/>
      <c r="F119" s="39"/>
      <c r="G119" s="39"/>
      <c r="H119" s="39"/>
      <c r="I119" s="39"/>
      <c r="J119" s="39"/>
      <c r="K119" s="39"/>
      <c r="L119" s="39"/>
      <c r="M119" s="39"/>
      <c r="N119" s="39"/>
      <c r="O119" s="39"/>
      <c r="P119" s="39"/>
      <c r="Q119" s="39"/>
      <c r="R119" s="39"/>
      <c r="S119" s="39"/>
      <c r="T119" s="39"/>
      <c r="U119" s="39"/>
      <c r="V119" s="15">
        <v>0</v>
      </c>
      <c r="W119" s="15">
        <v>0</v>
      </c>
      <c r="X119" s="15">
        <v>5</v>
      </c>
      <c r="Y119" s="15">
        <v>5</v>
      </c>
      <c r="Z119" s="15">
        <v>5</v>
      </c>
      <c r="AA119" s="15">
        <v>5</v>
      </c>
    </row>
    <row r="120" spans="1:27" ht="12" customHeight="1">
      <c r="A120" s="13" t="s">
        <v>694</v>
      </c>
      <c r="B120" s="13" t="s">
        <v>75</v>
      </c>
      <c r="C120" s="13" t="s">
        <v>573</v>
      </c>
      <c r="E120" s="15">
        <v>10</v>
      </c>
      <c r="F120" s="39"/>
      <c r="G120" s="15">
        <v>20</v>
      </c>
      <c r="H120" s="39"/>
      <c r="I120" s="39"/>
      <c r="J120" s="39"/>
      <c r="K120" s="39"/>
      <c r="L120" s="39"/>
      <c r="M120" s="39"/>
      <c r="N120" s="39"/>
      <c r="O120" s="39"/>
      <c r="P120" s="39"/>
      <c r="Q120" s="15">
        <v>5</v>
      </c>
      <c r="R120" s="39"/>
      <c r="S120" s="39"/>
      <c r="T120" s="15">
        <v>4</v>
      </c>
      <c r="U120" s="15">
        <v>8</v>
      </c>
      <c r="V120" s="15">
        <v>4</v>
      </c>
      <c r="W120" s="15">
        <v>8</v>
      </c>
      <c r="X120" s="15">
        <v>8</v>
      </c>
      <c r="Y120" s="15">
        <v>8</v>
      </c>
      <c r="Z120" s="15">
        <v>8</v>
      </c>
      <c r="AA120" s="15">
        <v>8</v>
      </c>
    </row>
    <row r="121" spans="1:27" ht="12" customHeight="1">
      <c r="A121" s="13" t="s">
        <v>694</v>
      </c>
      <c r="B121" s="13" t="s">
        <v>75</v>
      </c>
      <c r="C121" s="13" t="s">
        <v>712</v>
      </c>
      <c r="E121" s="39"/>
      <c r="F121" s="39"/>
      <c r="G121" s="39"/>
      <c r="H121" s="39"/>
      <c r="I121" s="39"/>
      <c r="J121" s="39"/>
      <c r="K121" s="39"/>
      <c r="L121" s="39"/>
      <c r="M121" s="39"/>
      <c r="N121" s="39"/>
      <c r="O121" s="39"/>
      <c r="P121" s="39"/>
      <c r="Q121" s="39"/>
      <c r="R121" s="39"/>
      <c r="S121" s="39"/>
      <c r="T121" s="15">
        <v>5</v>
      </c>
      <c r="U121" s="15">
        <v>5</v>
      </c>
      <c r="V121" s="15">
        <v>5</v>
      </c>
      <c r="W121" s="15">
        <v>5</v>
      </c>
      <c r="X121" s="15">
        <v>5</v>
      </c>
      <c r="Y121" s="15">
        <v>5</v>
      </c>
      <c r="Z121" s="15">
        <v>5</v>
      </c>
      <c r="AA121" s="15">
        <v>5</v>
      </c>
    </row>
    <row r="122" spans="1:27" ht="12" customHeight="1">
      <c r="A122" s="13" t="s">
        <v>694</v>
      </c>
      <c r="B122" s="13" t="s">
        <v>75</v>
      </c>
      <c r="C122" s="13" t="s">
        <v>602</v>
      </c>
      <c r="E122" s="15">
        <v>10</v>
      </c>
      <c r="F122" s="39"/>
      <c r="G122" s="15">
        <v>20</v>
      </c>
      <c r="H122" s="39"/>
      <c r="I122" s="39"/>
      <c r="J122" s="39"/>
      <c r="K122" s="39"/>
      <c r="L122" s="39"/>
      <c r="M122" s="39"/>
      <c r="N122" s="39"/>
      <c r="O122" s="39"/>
      <c r="P122" s="39"/>
      <c r="Q122" s="15">
        <v>21</v>
      </c>
      <c r="R122" s="39"/>
      <c r="S122" s="39"/>
      <c r="T122" s="15">
        <v>10</v>
      </c>
      <c r="U122" s="15">
        <v>10</v>
      </c>
      <c r="V122" s="15">
        <v>10</v>
      </c>
      <c r="W122" s="15">
        <v>10</v>
      </c>
      <c r="X122" s="15">
        <v>10</v>
      </c>
      <c r="Y122" s="15">
        <v>10</v>
      </c>
      <c r="Z122" s="15">
        <v>10</v>
      </c>
      <c r="AA122" s="15">
        <v>10</v>
      </c>
    </row>
    <row r="123" spans="1:27" ht="12" customHeight="1">
      <c r="A123" s="13" t="s">
        <v>694</v>
      </c>
      <c r="B123" s="13" t="s">
        <v>75</v>
      </c>
      <c r="C123" s="15" t="s">
        <v>151</v>
      </c>
      <c r="D123" s="39"/>
      <c r="E123" s="50">
        <v>8</v>
      </c>
      <c r="F123" s="50">
        <v>15</v>
      </c>
      <c r="G123" s="50">
        <v>14</v>
      </c>
      <c r="H123" s="50">
        <v>14</v>
      </c>
      <c r="I123" s="50">
        <v>14</v>
      </c>
      <c r="J123" s="50">
        <v>14</v>
      </c>
      <c r="K123" s="50">
        <v>14</v>
      </c>
      <c r="L123" s="50">
        <v>0</v>
      </c>
      <c r="M123" s="50">
        <v>14</v>
      </c>
      <c r="N123" s="50">
        <v>14</v>
      </c>
      <c r="O123" s="50">
        <v>14</v>
      </c>
      <c r="P123" s="50">
        <v>14</v>
      </c>
      <c r="Q123" s="50">
        <v>0</v>
      </c>
      <c r="R123" s="50">
        <v>14</v>
      </c>
      <c r="S123" s="50">
        <v>10</v>
      </c>
      <c r="T123" s="50">
        <v>32</v>
      </c>
      <c r="U123" s="50">
        <v>32</v>
      </c>
      <c r="V123" s="50">
        <v>32</v>
      </c>
      <c r="W123" s="50">
        <v>12</v>
      </c>
      <c r="X123" s="50">
        <v>0</v>
      </c>
      <c r="Y123" s="50">
        <v>7</v>
      </c>
      <c r="Z123" s="50">
        <v>0</v>
      </c>
      <c r="AA123" s="50">
        <v>0</v>
      </c>
    </row>
    <row r="124" spans="1:27" ht="12" customHeight="1">
      <c r="A124" s="45" t="str">
        <f aca="true" t="shared" si="70" ref="A124:B124">A122</f>
        <v>svc</v>
      </c>
      <c r="B124" s="70" t="str">
        <f t="shared" si="70"/>
        <v>BHemphill</v>
      </c>
      <c r="C124" s="47" t="str">
        <f>"TOTAL Avail: "&amp;B124</f>
        <v>TOTAL Avail: BHemphill</v>
      </c>
      <c r="D124" s="49"/>
      <c r="E124" s="51" t="str">
        <f aca="true" t="shared" si="71" ref="E124:S124">SUM(E117:E122)</f>
        <v>40</v>
      </c>
      <c r="F124" s="51" t="str">
        <f t="shared" si="71"/>
        <v>20</v>
      </c>
      <c r="G124" s="51" t="str">
        <f t="shared" si="71"/>
        <v>40</v>
      </c>
      <c r="H124" s="51" t="str">
        <f t="shared" si="71"/>
        <v>20</v>
      </c>
      <c r="I124" s="51" t="str">
        <f t="shared" si="71"/>
        <v>20</v>
      </c>
      <c r="J124" s="51" t="str">
        <f t="shared" si="71"/>
        <v>20</v>
      </c>
      <c r="K124" s="51" t="str">
        <f t="shared" si="71"/>
        <v>20</v>
      </c>
      <c r="L124" s="51" t="str">
        <f t="shared" si="71"/>
        <v>20</v>
      </c>
      <c r="M124" s="51" t="str">
        <f t="shared" si="71"/>
        <v>20</v>
      </c>
      <c r="N124" s="51" t="str">
        <f t="shared" si="71"/>
        <v>20</v>
      </c>
      <c r="O124" s="51" t="str">
        <f t="shared" si="71"/>
        <v>20</v>
      </c>
      <c r="P124" s="51" t="str">
        <f t="shared" si="71"/>
        <v>20</v>
      </c>
      <c r="Q124" s="51" t="str">
        <f t="shared" si="71"/>
        <v>46</v>
      </c>
      <c r="R124" s="51" t="str">
        <f t="shared" si="71"/>
        <v>20</v>
      </c>
      <c r="S124" s="51" t="str">
        <f t="shared" si="71"/>
        <v>8</v>
      </c>
      <c r="T124" s="51" t="str">
        <f aca="true" t="shared" si="72" ref="T124:W124">32-SUM(T117:T122)</f>
        <v>7</v>
      </c>
      <c r="U124" s="51" t="str">
        <f t="shared" si="72"/>
        <v>3</v>
      </c>
      <c r="V124" s="51" t="str">
        <f t="shared" si="72"/>
        <v>7</v>
      </c>
      <c r="W124" s="51" t="str">
        <f t="shared" si="72"/>
        <v>5</v>
      </c>
      <c r="X124" s="51" t="str">
        <f aca="true" t="shared" si="73" ref="X124:AA124">32-SUM(X117:X123)</f>
        <v>2</v>
      </c>
      <c r="Y124" s="51" t="str">
        <f t="shared" si="73"/>
        <v>-5</v>
      </c>
      <c r="Z124" s="51" t="str">
        <f t="shared" si="73"/>
        <v>2</v>
      </c>
      <c r="AA124" s="51" t="str">
        <f t="shared" si="73"/>
        <v>2</v>
      </c>
    </row>
    <row r="125" spans="5:27" ht="12" customHeight="1">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5:27" ht="12" customHeight="1">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5:27" ht="12" customHeight="1">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5:27" ht="12" customHeight="1">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5:27" ht="12" customHeight="1">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5:27" ht="12" customHeight="1">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5:27" ht="12" customHeight="1">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5:27" ht="12" customHeight="1">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5:27" ht="12" customHeight="1">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5:27" ht="12" customHeight="1">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5:27" ht="12" customHeight="1">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5:27" ht="12" customHeight="1">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5:27" ht="12" customHeight="1">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5:27" ht="12" customHeight="1">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5:27" ht="12" customHeight="1">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5:27" ht="12" customHeight="1">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5:27" ht="12" customHeight="1">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5:27" ht="12" customHeight="1">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5:27" ht="12" customHeight="1">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5:27" ht="12" customHeight="1">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sheetData>
  <autoFilter ref="$A$1:$R$124"/>
  <conditionalFormatting sqref="C6:S6">
    <cfRule type="cellIs" priority="1" dxfId="0" operator="greaterThan">
      <formula>32</formula>
    </cfRule>
  </conditionalFormatting>
  <conditionalFormatting sqref="C12:S12">
    <cfRule type="cellIs" priority="2" dxfId="0" operator="greaterThan">
      <formula>32</formula>
    </cfRule>
  </conditionalFormatting>
  <conditionalFormatting sqref="C20:S20">
    <cfRule type="cellIs" priority="3" dxfId="0" operator="greaterThan">
      <formula>32</formula>
    </cfRule>
  </conditionalFormatting>
  <conditionalFormatting sqref="C28:S28">
    <cfRule type="cellIs" priority="4" dxfId="0" operator="greaterThan">
      <formula>32</formula>
    </cfRule>
  </conditionalFormatting>
  <conditionalFormatting sqref="C34:S34">
    <cfRule type="cellIs" priority="5" dxfId="0" operator="greaterThan">
      <formula>32</formula>
    </cfRule>
  </conditionalFormatting>
  <conditionalFormatting sqref="C40:S40">
    <cfRule type="cellIs" priority="6" dxfId="0" operator="greaterThan">
      <formula>32</formula>
    </cfRule>
  </conditionalFormatting>
  <conditionalFormatting sqref="C53:S53">
    <cfRule type="cellIs" priority="7" dxfId="0" operator="greaterThan">
      <formula>32</formula>
    </cfRule>
  </conditionalFormatting>
  <conditionalFormatting sqref="C59:S59">
    <cfRule type="cellIs" priority="8" dxfId="0" operator="greaterThan">
      <formula>32</formula>
    </cfRule>
  </conditionalFormatting>
  <conditionalFormatting sqref="C61:S61">
    <cfRule type="cellIs" priority="9" dxfId="0" operator="greaterThan">
      <formula>32</formula>
    </cfRule>
  </conditionalFormatting>
  <conditionalFormatting sqref="C65:S65">
    <cfRule type="cellIs" priority="10" dxfId="0" operator="greaterThan">
      <formula>32</formula>
    </cfRule>
  </conditionalFormatting>
  <conditionalFormatting sqref="C74:S74">
    <cfRule type="cellIs" priority="11" dxfId="0" operator="greaterThan">
      <formula>32</formula>
    </cfRule>
  </conditionalFormatting>
  <conditionalFormatting sqref="C84:S84">
    <cfRule type="cellIs" priority="12" dxfId="0" operator="greaterThan">
      <formula>32</formula>
    </cfRule>
  </conditionalFormatting>
  <conditionalFormatting sqref="C91:S91">
    <cfRule type="cellIs" priority="13" dxfId="0" operator="greaterThan">
      <formula>32</formula>
    </cfRule>
  </conditionalFormatting>
  <conditionalFormatting sqref="C99:S99">
    <cfRule type="cellIs" priority="14" dxfId="0" operator="greaterThan">
      <formula>32</formula>
    </cfRule>
  </conditionalFormatting>
  <conditionalFormatting sqref="C104:S104">
    <cfRule type="cellIs" priority="15" dxfId="0" operator="greaterThan">
      <formula>32</formula>
    </cfRule>
  </conditionalFormatting>
  <conditionalFormatting sqref="C110:S110">
    <cfRule type="cellIs" priority="16" dxfId="0" operator="greaterThan">
      <formula>32</formula>
    </cfRule>
  </conditionalFormatting>
  <conditionalFormatting sqref="C116:S116">
    <cfRule type="cellIs" priority="17" dxfId="0" operator="greaterThan">
      <formula>32</formula>
    </cfRule>
  </conditionalFormatting>
  <conditionalFormatting sqref="C124:S124">
    <cfRule type="cellIs" priority="18" dxfId="0" operator="greaterThan">
      <formula>32</formula>
    </cfRule>
  </conditionalFormatting>
  <conditionalFormatting sqref="T6:AA6">
    <cfRule type="cellIs" priority="19" dxfId="0" operator="lessThan">
      <formula>0</formula>
    </cfRule>
  </conditionalFormatting>
  <conditionalFormatting sqref="T12:AA12">
    <cfRule type="cellIs" priority="20" dxfId="0" operator="lessThan">
      <formula>0</formula>
    </cfRule>
  </conditionalFormatting>
  <conditionalFormatting sqref="T20:AA20">
    <cfRule type="cellIs" priority="21" dxfId="0" operator="lessThan">
      <formula>0</formula>
    </cfRule>
  </conditionalFormatting>
  <conditionalFormatting sqref="T28:AA28">
    <cfRule type="cellIs" priority="22" dxfId="0" operator="lessThan">
      <formula>0</formula>
    </cfRule>
  </conditionalFormatting>
  <conditionalFormatting sqref="T34:AA34">
    <cfRule type="cellIs" priority="23" dxfId="0" operator="lessThan">
      <formula>0</formula>
    </cfRule>
  </conditionalFormatting>
  <conditionalFormatting sqref="T40:AA40">
    <cfRule type="cellIs" priority="24" dxfId="0" operator="lessThan">
      <formula>0</formula>
    </cfRule>
  </conditionalFormatting>
  <conditionalFormatting sqref="T53:AA53">
    <cfRule type="cellIs" priority="25" dxfId="0" operator="lessThan">
      <formula>0</formula>
    </cfRule>
  </conditionalFormatting>
  <conditionalFormatting sqref="T59:AA59">
    <cfRule type="cellIs" priority="26" dxfId="0" operator="lessThan">
      <formula>0</formula>
    </cfRule>
  </conditionalFormatting>
  <conditionalFormatting sqref="T61:AA61">
    <cfRule type="cellIs" priority="27" dxfId="0" operator="lessThan">
      <formula>0</formula>
    </cfRule>
  </conditionalFormatting>
  <conditionalFormatting sqref="T65:AA65">
    <cfRule type="cellIs" priority="28" dxfId="0" operator="lessThan">
      <formula>0</formula>
    </cfRule>
  </conditionalFormatting>
  <conditionalFormatting sqref="T74:AA74">
    <cfRule type="cellIs" priority="29" dxfId="0" operator="lessThan">
      <formula>0</formula>
    </cfRule>
  </conditionalFormatting>
  <conditionalFormatting sqref="T84:AA84">
    <cfRule type="cellIs" priority="30" dxfId="0" operator="lessThan">
      <formula>0</formula>
    </cfRule>
  </conditionalFormatting>
  <conditionalFormatting sqref="T91:AA91">
    <cfRule type="cellIs" priority="31" dxfId="0" operator="lessThan">
      <formula>0</formula>
    </cfRule>
  </conditionalFormatting>
  <conditionalFormatting sqref="T99:AA99">
    <cfRule type="cellIs" priority="32" dxfId="0" operator="lessThan">
      <formula>0</formula>
    </cfRule>
  </conditionalFormatting>
  <conditionalFormatting sqref="T104:AA104">
    <cfRule type="cellIs" priority="33" dxfId="0" operator="lessThan">
      <formula>0</formula>
    </cfRule>
  </conditionalFormatting>
  <conditionalFormatting sqref="T110:AA110">
    <cfRule type="cellIs" priority="34" dxfId="0" operator="lessThan">
      <formula>0</formula>
    </cfRule>
  </conditionalFormatting>
  <conditionalFormatting sqref="T116:AA116">
    <cfRule type="cellIs" priority="35" dxfId="0" operator="lessThan">
      <formula>0</formula>
    </cfRule>
  </conditionalFormatting>
  <conditionalFormatting sqref="T124:AA124">
    <cfRule type="cellIs" priority="36" dxfId="0" operator="lessThan">
      <formula>0</formula>
    </cfRule>
  </conditionalFormatting>
  <conditionalFormatting sqref="T6:AA6">
    <cfRule type="cellIs" priority="37" dxfId="1" operator="greaterThan">
      <formula>0</formula>
    </cfRule>
  </conditionalFormatting>
  <conditionalFormatting sqref="T12:AA12">
    <cfRule type="cellIs" priority="38" dxfId="1" operator="greaterThan">
      <formula>0</formula>
    </cfRule>
  </conditionalFormatting>
  <conditionalFormatting sqref="T20:AA20">
    <cfRule type="cellIs" priority="39" dxfId="1" operator="greaterThan">
      <formula>0</formula>
    </cfRule>
  </conditionalFormatting>
  <conditionalFormatting sqref="T28:AA28">
    <cfRule type="cellIs" priority="40" dxfId="1" operator="greaterThan">
      <formula>0</formula>
    </cfRule>
  </conditionalFormatting>
  <conditionalFormatting sqref="T34:AA34">
    <cfRule type="cellIs" priority="41" dxfId="1" operator="greaterThan">
      <formula>0</formula>
    </cfRule>
  </conditionalFormatting>
  <conditionalFormatting sqref="T40:AA40">
    <cfRule type="cellIs" priority="42" dxfId="1" operator="greaterThan">
      <formula>0</formula>
    </cfRule>
  </conditionalFormatting>
  <conditionalFormatting sqref="T53:AA53">
    <cfRule type="cellIs" priority="43" dxfId="1" operator="greaterThan">
      <formula>0</formula>
    </cfRule>
  </conditionalFormatting>
  <conditionalFormatting sqref="T59:AA59">
    <cfRule type="cellIs" priority="44" dxfId="1" operator="greaterThan">
      <formula>0</formula>
    </cfRule>
  </conditionalFormatting>
  <conditionalFormatting sqref="T61:AA61">
    <cfRule type="cellIs" priority="45" dxfId="1" operator="greaterThan">
      <formula>0</formula>
    </cfRule>
  </conditionalFormatting>
  <conditionalFormatting sqref="T65:AA65">
    <cfRule type="cellIs" priority="46" dxfId="1" operator="greaterThan">
      <formula>0</formula>
    </cfRule>
  </conditionalFormatting>
  <conditionalFormatting sqref="T74:AA74">
    <cfRule type="cellIs" priority="47" dxfId="1" operator="greaterThan">
      <formula>0</formula>
    </cfRule>
  </conditionalFormatting>
  <conditionalFormatting sqref="T84:AA84">
    <cfRule type="cellIs" priority="48" dxfId="1" operator="greaterThan">
      <formula>0</formula>
    </cfRule>
  </conditionalFormatting>
  <conditionalFormatting sqref="T91:AA91">
    <cfRule type="cellIs" priority="49" dxfId="1" operator="greaterThan">
      <formula>0</formula>
    </cfRule>
  </conditionalFormatting>
  <conditionalFormatting sqref="T99:AA99">
    <cfRule type="cellIs" priority="50" dxfId="1" operator="greaterThan">
      <formula>0</formula>
    </cfRule>
  </conditionalFormatting>
  <conditionalFormatting sqref="T104:AA104">
    <cfRule type="cellIs" priority="51" dxfId="1" operator="greaterThan">
      <formula>0</formula>
    </cfRule>
  </conditionalFormatting>
  <conditionalFormatting sqref="T110:AA110">
    <cfRule type="cellIs" priority="52" dxfId="1" operator="greaterThan">
      <formula>0</formula>
    </cfRule>
  </conditionalFormatting>
  <conditionalFormatting sqref="T116:AA116">
    <cfRule type="cellIs" priority="53" dxfId="1" operator="greaterThan">
      <formula>0</formula>
    </cfRule>
  </conditionalFormatting>
  <conditionalFormatting sqref="T124:AA124">
    <cfRule type="cellIs" priority="54" dxfId="1" operator="greaterThan">
      <formula>0</formula>
    </cfRule>
  </conditionalFormatting>
  <dataValidations count="2">
    <dataValidation type="list" allowBlank="1" showInputMessage="1" prompt="Select Project or Task" sqref="C1:C4 C6:C31 C33:C48 C51:C74 C76:C77 C84 C88:C92 C93:D94 C95:C107 C109:C113 C115:C124">
      <formula1>apm!$J$1:$J$106</formula1>
    </dataValidation>
    <dataValidation type="list" allowBlank="1" sqref="C5 C49:C50 C75 C78:C83 C85:C87 C108 C114">
      <formula1>apm!$J$1:$J$106</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U41"/>
  <sheetViews>
    <sheetView tabSelected="1" workbookViewId="0" topLeftCell="A1">
      <pane xSplit="5" ySplit="1" topLeftCell="F2" activePane="bottomRight" state="frozen"/>
      <selection pane="topRight" activeCell="F1" sqref="F1"/>
      <selection pane="bottomLeft" activeCell="A2" sqref="A2"/>
      <selection pane="bottomRight" activeCell="F2" sqref="F2"/>
    </sheetView>
  </sheetViews>
  <sheetFormatPr defaultColWidth="14.421875" defaultRowHeight="12.75" customHeight="1"/>
  <cols>
    <col min="1" max="1" width="14.28125" style="0" customWidth="1"/>
    <col min="2" max="2" width="5.7109375" style="0" customWidth="1"/>
    <col min="3" max="3" width="17.7109375" style="0" hidden="1" customWidth="1"/>
    <col min="4" max="4" width="29.00390625" style="0" customWidth="1"/>
    <col min="5" max="5" width="26.7109375" style="0" customWidth="1"/>
    <col min="6" max="7" width="4.57421875" style="0" customWidth="1"/>
    <col min="8" max="10" width="5.7109375" style="0" customWidth="1"/>
    <col min="11" max="12" width="4.57421875" style="0" customWidth="1"/>
    <col min="13" max="15" width="5.7109375" style="0" customWidth="1"/>
    <col min="16" max="16" width="4.57421875" style="0" customWidth="1"/>
    <col min="17" max="19" width="5.7109375" style="0" customWidth="1"/>
    <col min="20" max="20" width="3.57421875" style="0" customWidth="1"/>
    <col min="21" max="21" width="4.57421875" style="0" customWidth="1"/>
  </cols>
  <sheetData>
    <row r="1" spans="1:21" ht="12" customHeight="1">
      <c r="A1" s="17" t="s">
        <v>4</v>
      </c>
      <c r="B1" s="17" t="s">
        <v>10</v>
      </c>
      <c r="C1" s="17" t="s">
        <v>11</v>
      </c>
      <c r="D1" s="17" t="s">
        <v>18</v>
      </c>
      <c r="E1" s="27" t="s">
        <v>97</v>
      </c>
      <c r="F1" s="28">
        <v>42274</v>
      </c>
      <c r="G1" s="31" t="str">
        <f aca="true" t="shared" si="0" ref="G1:U1">F1+7</f>
        <v>10/4</v>
      </c>
      <c r="H1" s="31" t="str">
        <f t="shared" si="0"/>
        <v>10/11</v>
      </c>
      <c r="I1" s="31" t="str">
        <f t="shared" si="0"/>
        <v>10/18</v>
      </c>
      <c r="J1" s="31" t="str">
        <f t="shared" si="0"/>
        <v>10/25</v>
      </c>
      <c r="K1" s="31" t="str">
        <f t="shared" si="0"/>
        <v>11/1</v>
      </c>
      <c r="L1" s="31" t="str">
        <f t="shared" si="0"/>
        <v>11/8</v>
      </c>
      <c r="M1" s="31" t="str">
        <f t="shared" si="0"/>
        <v>11/15</v>
      </c>
      <c r="N1" s="31" t="str">
        <f t="shared" si="0"/>
        <v>11/22</v>
      </c>
      <c r="O1" s="31" t="str">
        <f t="shared" si="0"/>
        <v>11/29</v>
      </c>
      <c r="P1" s="31" t="str">
        <f t="shared" si="0"/>
        <v>12/6</v>
      </c>
      <c r="Q1" s="31" t="str">
        <f t="shared" si="0"/>
        <v>12/13</v>
      </c>
      <c r="R1" s="31" t="str">
        <f t="shared" si="0"/>
        <v>12/20</v>
      </c>
      <c r="S1" s="31" t="str">
        <f t="shared" si="0"/>
        <v>12/27</v>
      </c>
      <c r="T1" s="31" t="str">
        <f t="shared" si="0"/>
        <v>1/3</v>
      </c>
      <c r="U1" s="31" t="str">
        <f t="shared" si="0"/>
        <v>1/10</v>
      </c>
    </row>
    <row r="2" spans="1:21" ht="12" customHeight="1">
      <c r="A2" s="33" t="s">
        <v>139</v>
      </c>
      <c r="B2" s="13" t="s">
        <v>141</v>
      </c>
      <c r="C2" s="35" t="str">
        <f aca="true" t="shared" si="1" ref="C2:C41">B2&amp;IF(LEFT(D2,5)="TOTAL","T","")</f>
        <v>fdev</v>
      </c>
      <c r="D2" s="15" t="s">
        <v>146</v>
      </c>
      <c r="E2" s="13" t="s">
        <v>147</v>
      </c>
      <c r="H2" s="13">
        <v>8</v>
      </c>
      <c r="J2" s="13">
        <v>20</v>
      </c>
      <c r="K2" s="13">
        <v>20</v>
      </c>
      <c r="L2" s="13">
        <v>20</v>
      </c>
      <c r="M2" s="13">
        <v>20</v>
      </c>
      <c r="N2" s="13">
        <v>20</v>
      </c>
      <c r="O2" s="13">
        <v>20</v>
      </c>
      <c r="P2" s="13">
        <v>20</v>
      </c>
      <c r="Q2" s="13">
        <v>20</v>
      </c>
      <c r="R2" s="13">
        <v>20</v>
      </c>
      <c r="S2" s="13">
        <v>20</v>
      </c>
      <c r="T2" s="13">
        <v>20</v>
      </c>
      <c r="U2" s="13">
        <v>20</v>
      </c>
    </row>
    <row r="3" spans="1:9" ht="12" customHeight="1">
      <c r="A3" s="33" t="s">
        <v>139</v>
      </c>
      <c r="B3" s="13" t="s">
        <v>141</v>
      </c>
      <c r="C3" s="35" t="str">
        <f t="shared" si="1"/>
        <v>fdev</v>
      </c>
      <c r="D3" s="15" t="s">
        <v>148</v>
      </c>
      <c r="E3" s="13" t="s">
        <v>129</v>
      </c>
      <c r="G3" s="13">
        <v>32</v>
      </c>
      <c r="H3" s="13">
        <v>24</v>
      </c>
      <c r="I3" s="13">
        <v>24</v>
      </c>
    </row>
    <row r="4" spans="1:4" ht="12" customHeight="1">
      <c r="A4" s="33" t="s">
        <v>139</v>
      </c>
      <c r="B4" s="13" t="s">
        <v>141</v>
      </c>
      <c r="C4" s="35" t="str">
        <f t="shared" si="1"/>
        <v>fdev</v>
      </c>
      <c r="D4" s="15" t="s">
        <v>149</v>
      </c>
    </row>
    <row r="5" spans="1:21" ht="12" customHeight="1">
      <c r="A5" s="33" t="s">
        <v>139</v>
      </c>
      <c r="B5" s="13" t="s">
        <v>141</v>
      </c>
      <c r="C5" s="35" t="str">
        <f t="shared" si="1"/>
        <v>fdev</v>
      </c>
      <c r="D5" s="15" t="s">
        <v>150</v>
      </c>
      <c r="H5" s="13">
        <v>0</v>
      </c>
      <c r="I5" s="13">
        <v>8</v>
      </c>
      <c r="J5" s="37">
        <v>2</v>
      </c>
      <c r="K5" s="37">
        <v>3</v>
      </c>
      <c r="L5" s="37">
        <v>4</v>
      </c>
      <c r="M5" s="37">
        <v>5</v>
      </c>
      <c r="N5" s="13">
        <v>12</v>
      </c>
      <c r="O5" s="13">
        <v>12</v>
      </c>
      <c r="P5" s="13">
        <v>12</v>
      </c>
      <c r="Q5" s="13">
        <v>12</v>
      </c>
      <c r="R5" s="13">
        <v>12</v>
      </c>
      <c r="S5" s="13">
        <v>12</v>
      </c>
      <c r="T5" s="13">
        <v>12</v>
      </c>
      <c r="U5" s="13">
        <v>12</v>
      </c>
    </row>
    <row r="6" spans="1:6" ht="12" customHeight="1">
      <c r="A6" s="33" t="s">
        <v>139</v>
      </c>
      <c r="B6" s="13" t="s">
        <v>141</v>
      </c>
      <c r="C6" s="35" t="str">
        <f t="shared" si="1"/>
        <v>fdev</v>
      </c>
      <c r="D6" s="15" t="s">
        <v>151</v>
      </c>
      <c r="E6" s="39"/>
      <c r="F6" s="13">
        <v>32</v>
      </c>
    </row>
    <row r="7" spans="1:21" ht="12" customHeight="1">
      <c r="A7" s="41" t="str">
        <f aca="true" t="shared" si="2" ref="A7:B7">A6</f>
        <v>BObama</v>
      </c>
      <c r="B7" s="43" t="str">
        <f t="shared" si="2"/>
        <v>fdev</v>
      </c>
      <c r="C7" s="45" t="str">
        <f t="shared" si="1"/>
        <v>fdevT</v>
      </c>
      <c r="D7" s="47" t="str">
        <f>"TOTAL Avail: "&amp;A7</f>
        <v>TOTAL Avail: BObama</v>
      </c>
      <c r="E7" s="49"/>
      <c r="F7" s="51" t="str">
        <f>hrsperweek-SUM(F2:F6)</f>
        <v>0</v>
      </c>
      <c r="G7" s="51" t="str">
        <f>hrsperweek-SUM(G2:G6)</f>
        <v>0</v>
      </c>
      <c r="H7" s="51" t="str">
        <f>hrsperweek-SUM(H2:H6)</f>
        <v>0</v>
      </c>
      <c r="I7" s="51" t="str">
        <f>hrsperweek-SUM(I2:I6)</f>
        <v>0</v>
      </c>
      <c r="J7" s="51" t="str">
        <f>hrsperweek-SUM(J2:J6)</f>
        <v>10</v>
      </c>
      <c r="K7" s="51" t="str">
        <f>hrsperweek-SUM(K2:K6)</f>
        <v>9</v>
      </c>
      <c r="L7" s="51" t="str">
        <f>hrsperweek-SUM(L2:L6)</f>
        <v>8</v>
      </c>
      <c r="M7" s="51" t="str">
        <f>hrsperweek-SUM(M2:M6)</f>
        <v>7</v>
      </c>
      <c r="N7" s="51" t="str">
        <f>hrsperweek-SUM(N2:N6)</f>
        <v>0</v>
      </c>
      <c r="O7" s="51" t="str">
        <f>hrsperweek-SUM(O2:O6)</f>
        <v>0</v>
      </c>
      <c r="P7" s="51" t="str">
        <f>hrsperweek-SUM(P2:P6)</f>
        <v>0</v>
      </c>
      <c r="Q7" s="51" t="str">
        <f>hrsperweek-SUM(Q2:Q6)</f>
        <v>0</v>
      </c>
      <c r="R7" s="51" t="str">
        <f>hrsperweek-SUM(R2:R6)</f>
        <v>0</v>
      </c>
      <c r="S7" s="51" t="str">
        <f>hrsperweek-SUM(S2:S6)</f>
        <v>0</v>
      </c>
      <c r="T7" s="51" t="str">
        <f>hrsperweek-SUM(T2:T6)</f>
        <v>0</v>
      </c>
      <c r="U7" s="51" t="str">
        <f>hrsperweek-SUM(U2:U6)</f>
        <v>0</v>
      </c>
    </row>
    <row r="8" spans="1:21" ht="12" customHeight="1">
      <c r="A8" s="33" t="s">
        <v>162</v>
      </c>
      <c r="B8" s="37" t="s">
        <v>141</v>
      </c>
      <c r="C8" s="35" t="str">
        <f t="shared" si="1"/>
        <v>fdev</v>
      </c>
      <c r="D8" s="33" t="s">
        <v>164</v>
      </c>
      <c r="E8" s="15" t="s">
        <v>165</v>
      </c>
      <c r="L8" s="13">
        <v>10</v>
      </c>
      <c r="M8" s="13">
        <v>10</v>
      </c>
      <c r="N8" s="13">
        <v>10</v>
      </c>
      <c r="O8" s="13">
        <v>10</v>
      </c>
      <c r="P8" s="13">
        <v>10</v>
      </c>
      <c r="Q8" s="13">
        <v>10</v>
      </c>
      <c r="R8" s="13">
        <v>10</v>
      </c>
      <c r="S8" s="37">
        <v>2</v>
      </c>
      <c r="T8" s="37">
        <v>2</v>
      </c>
      <c r="U8" s="37">
        <v>2</v>
      </c>
    </row>
    <row r="9" spans="1:21" ht="12" customHeight="1">
      <c r="A9" s="33" t="s">
        <v>162</v>
      </c>
      <c r="B9" s="37" t="s">
        <v>141</v>
      </c>
      <c r="C9" s="35" t="str">
        <f t="shared" si="1"/>
        <v>fdev</v>
      </c>
      <c r="D9" s="15" t="s">
        <v>168</v>
      </c>
      <c r="E9" s="39"/>
      <c r="G9" s="13">
        <v>24</v>
      </c>
      <c r="H9" s="13">
        <v>8</v>
      </c>
      <c r="I9" s="13">
        <v>8</v>
      </c>
      <c r="J9" s="13">
        <v>8</v>
      </c>
      <c r="K9" s="13">
        <v>20</v>
      </c>
      <c r="L9" s="13">
        <v>10</v>
      </c>
      <c r="M9" s="13">
        <v>10</v>
      </c>
      <c r="N9" s="13">
        <v>10</v>
      </c>
      <c r="O9" s="13">
        <v>10</v>
      </c>
      <c r="P9" s="13">
        <v>10</v>
      </c>
      <c r="Q9" s="37">
        <v>1</v>
      </c>
      <c r="R9" s="37">
        <v>2</v>
      </c>
      <c r="S9" s="37">
        <v>3</v>
      </c>
      <c r="T9" s="37">
        <v>5</v>
      </c>
      <c r="U9" s="37">
        <v>6</v>
      </c>
    </row>
    <row r="10" spans="1:21" ht="12" customHeight="1">
      <c r="A10" s="33" t="s">
        <v>162</v>
      </c>
      <c r="B10" s="37" t="s">
        <v>141</v>
      </c>
      <c r="C10" s="35" t="str">
        <f t="shared" si="1"/>
        <v>fdev</v>
      </c>
      <c r="D10" s="15" t="s">
        <v>150</v>
      </c>
      <c r="E10" s="39"/>
      <c r="G10" s="13"/>
      <c r="H10" s="13"/>
      <c r="I10" s="13">
        <v>24</v>
      </c>
      <c r="J10" s="13">
        <v>24</v>
      </c>
      <c r="K10" s="13">
        <v>12</v>
      </c>
      <c r="L10" s="13">
        <v>12</v>
      </c>
      <c r="M10" s="13">
        <v>12</v>
      </c>
      <c r="N10" s="13">
        <v>12</v>
      </c>
      <c r="O10" s="13">
        <v>12</v>
      </c>
      <c r="P10" s="13">
        <v>12</v>
      </c>
      <c r="Q10" s="37">
        <v>33</v>
      </c>
      <c r="R10" s="37">
        <v>2</v>
      </c>
      <c r="S10" s="37">
        <v>2</v>
      </c>
      <c r="T10" s="37">
        <v>3</v>
      </c>
      <c r="U10" s="13">
        <v>12</v>
      </c>
    </row>
    <row r="11" spans="1:5" ht="12" customHeight="1">
      <c r="A11" s="33" t="s">
        <v>162</v>
      </c>
      <c r="B11" s="37" t="s">
        <v>141</v>
      </c>
      <c r="C11" s="35" t="str">
        <f t="shared" si="1"/>
        <v>fdev</v>
      </c>
      <c r="D11" s="15" t="s">
        <v>174</v>
      </c>
      <c r="E11" s="39"/>
    </row>
    <row r="12" spans="1:6" ht="12" customHeight="1">
      <c r="A12" s="33" t="s">
        <v>162</v>
      </c>
      <c r="B12" s="37" t="s">
        <v>141</v>
      </c>
      <c r="C12" s="35" t="str">
        <f t="shared" si="1"/>
        <v>fdev</v>
      </c>
      <c r="D12" s="15" t="s">
        <v>151</v>
      </c>
      <c r="E12" s="39"/>
      <c r="F12" s="13">
        <v>32</v>
      </c>
    </row>
    <row r="13" spans="1:21" ht="12.75">
      <c r="A13" s="70" t="str">
        <f aca="true" t="shared" si="3" ref="A13:B13">A12</f>
        <v>WSmith</v>
      </c>
      <c r="B13" s="43" t="str">
        <f t="shared" si="3"/>
        <v>fdev</v>
      </c>
      <c r="C13" s="45" t="str">
        <f t="shared" si="1"/>
        <v>fdevT</v>
      </c>
      <c r="D13" s="47" t="str">
        <f>"TOTAL Avail: "&amp;A13</f>
        <v>TOTAL Avail: WSmith</v>
      </c>
      <c r="E13" s="49"/>
      <c r="F13" s="51" t="str">
        <f>hrsperweek-SUM(F8:F12)</f>
        <v>0</v>
      </c>
      <c r="G13" s="51" t="str">
        <f>hrsperweek-SUM(G8:G12)</f>
        <v>8</v>
      </c>
      <c r="H13" s="51" t="str">
        <f>hrsperweek-SUM(H8:H12)</f>
        <v>24</v>
      </c>
      <c r="I13" s="51" t="str">
        <f>hrsperweek-SUM(I8:I12)</f>
        <v>0</v>
      </c>
      <c r="J13" s="51" t="str">
        <f>hrsperweek-SUM(J8:J12)</f>
        <v>0</v>
      </c>
      <c r="K13" s="51" t="str">
        <f>hrsperweek-SUM(K8:K12)</f>
        <v>0</v>
      </c>
      <c r="L13" s="51" t="str">
        <f>hrsperweek-SUM(L8:L12)</f>
        <v>0</v>
      </c>
      <c r="M13" s="51" t="str">
        <f>hrsperweek-SUM(M8:M12)</f>
        <v>0</v>
      </c>
      <c r="N13" s="51" t="str">
        <f>hrsperweek-SUM(N8:N12)</f>
        <v>0</v>
      </c>
      <c r="O13" s="51" t="str">
        <f>hrsperweek-SUM(O8:O12)</f>
        <v>0</v>
      </c>
      <c r="P13" s="51" t="str">
        <f>hrsperweek-SUM(P8:P12)</f>
        <v>0</v>
      </c>
      <c r="Q13" s="51" t="str">
        <f>hrsperweek-SUM(Q8:Q12)</f>
        <v>-12</v>
      </c>
      <c r="R13" s="51" t="str">
        <f>hrsperweek-SUM(R8:R12)</f>
        <v>18</v>
      </c>
      <c r="S13" s="51" t="str">
        <f>hrsperweek-SUM(S8:S12)</f>
        <v>25</v>
      </c>
      <c r="T13" s="51" t="str">
        <f>hrsperweek-SUM(T8:T12)</f>
        <v>22</v>
      </c>
      <c r="U13" s="51" t="str">
        <f>hrsperweek-SUM(U8:U12)</f>
        <v>12</v>
      </c>
    </row>
    <row r="14" spans="1:21" ht="12" customHeight="1">
      <c r="A14" s="15" t="s">
        <v>56</v>
      </c>
      <c r="B14" s="37" t="s">
        <v>430</v>
      </c>
      <c r="C14" s="35" t="str">
        <f t="shared" si="1"/>
        <v>bdev</v>
      </c>
      <c r="D14" s="15" t="s">
        <v>478</v>
      </c>
      <c r="E14" s="15" t="s">
        <v>479</v>
      </c>
      <c r="G14" s="13">
        <v>16</v>
      </c>
      <c r="H14" s="13">
        <v>24</v>
      </c>
      <c r="I14" s="13">
        <v>24</v>
      </c>
      <c r="J14" s="13">
        <v>24</v>
      </c>
      <c r="K14" s="13">
        <v>4</v>
      </c>
      <c r="L14" s="13">
        <v>4</v>
      </c>
      <c r="M14" s="13">
        <v>4</v>
      </c>
      <c r="N14" s="13">
        <v>4</v>
      </c>
      <c r="O14" s="13">
        <v>4</v>
      </c>
      <c r="P14" s="13">
        <v>4</v>
      </c>
      <c r="Q14" s="13">
        <v>4</v>
      </c>
      <c r="R14" s="13">
        <v>4</v>
      </c>
      <c r="S14" s="13">
        <v>4</v>
      </c>
      <c r="T14" s="13">
        <v>4</v>
      </c>
      <c r="U14" s="13">
        <v>4</v>
      </c>
    </row>
    <row r="15" spans="1:10" ht="12.75">
      <c r="A15" s="15" t="s">
        <v>56</v>
      </c>
      <c r="B15" s="37" t="s">
        <v>430</v>
      </c>
      <c r="C15" s="35" t="str">
        <f t="shared" si="1"/>
        <v>bdev</v>
      </c>
      <c r="D15" s="15" t="s">
        <v>146</v>
      </c>
      <c r="E15" s="39"/>
      <c r="G15" s="13">
        <v>2</v>
      </c>
      <c r="H15" s="13">
        <v>1</v>
      </c>
      <c r="I15" s="13">
        <v>1</v>
      </c>
      <c r="J15" s="13">
        <v>1</v>
      </c>
    </row>
    <row r="16" spans="1:21" ht="12.75">
      <c r="A16" s="15" t="s">
        <v>56</v>
      </c>
      <c r="B16" s="37" t="s">
        <v>430</v>
      </c>
      <c r="C16" s="35" t="str">
        <f t="shared" si="1"/>
        <v>bdev</v>
      </c>
      <c r="D16" s="15" t="s">
        <v>484</v>
      </c>
      <c r="E16" s="39"/>
      <c r="K16" s="13">
        <v>20</v>
      </c>
      <c r="L16" s="13">
        <v>16</v>
      </c>
      <c r="M16" s="13">
        <v>16</v>
      </c>
      <c r="N16" s="13">
        <v>16</v>
      </c>
      <c r="O16" s="13">
        <v>16</v>
      </c>
      <c r="P16" s="13">
        <v>16</v>
      </c>
      <c r="Q16" s="13">
        <v>16</v>
      </c>
      <c r="R16" s="13">
        <v>16</v>
      </c>
      <c r="S16" s="13">
        <v>16</v>
      </c>
      <c r="T16" s="13">
        <v>16</v>
      </c>
      <c r="U16" s="13">
        <v>16</v>
      </c>
    </row>
    <row r="17" spans="1:9" ht="12" customHeight="1">
      <c r="A17" s="15" t="s">
        <v>56</v>
      </c>
      <c r="B17" s="37" t="s">
        <v>430</v>
      </c>
      <c r="C17" s="35" t="str">
        <f t="shared" si="1"/>
        <v>bdev</v>
      </c>
      <c r="D17" s="13" t="s">
        <v>298</v>
      </c>
      <c r="I17" s="13">
        <v>14</v>
      </c>
    </row>
    <row r="18" spans="1:21" ht="12.75">
      <c r="A18" s="15" t="s">
        <v>56</v>
      </c>
      <c r="B18" s="37" t="s">
        <v>430</v>
      </c>
      <c r="C18" s="35" t="str">
        <f t="shared" si="1"/>
        <v>bdev</v>
      </c>
      <c r="D18" s="15" t="s">
        <v>489</v>
      </c>
      <c r="E18" s="15" t="s">
        <v>490</v>
      </c>
      <c r="G18" s="13">
        <v>4</v>
      </c>
      <c r="H18" s="13">
        <v>4</v>
      </c>
      <c r="I18" s="13">
        <v>4</v>
      </c>
      <c r="J18" s="13">
        <v>4</v>
      </c>
      <c r="K18" s="13">
        <v>4</v>
      </c>
      <c r="L18" s="13">
        <v>4</v>
      </c>
      <c r="M18" s="13">
        <v>4</v>
      </c>
      <c r="N18" s="13">
        <v>4</v>
      </c>
      <c r="O18" s="13">
        <v>4</v>
      </c>
      <c r="P18" s="13">
        <v>4</v>
      </c>
      <c r="Q18" s="13">
        <v>4</v>
      </c>
      <c r="R18" s="13">
        <v>4</v>
      </c>
      <c r="S18" s="13">
        <v>4</v>
      </c>
      <c r="T18" s="13">
        <v>4</v>
      </c>
      <c r="U18" s="13">
        <v>4</v>
      </c>
    </row>
    <row r="19" spans="1:21" ht="12.75">
      <c r="A19" s="15" t="s">
        <v>56</v>
      </c>
      <c r="B19" s="37" t="s">
        <v>430</v>
      </c>
      <c r="C19" s="35" t="str">
        <f t="shared" si="1"/>
        <v>bdev</v>
      </c>
      <c r="D19" s="15" t="s">
        <v>159</v>
      </c>
      <c r="E19" s="39"/>
      <c r="G19" s="13">
        <v>10</v>
      </c>
      <c r="H19" s="13">
        <v>4</v>
      </c>
      <c r="I19" s="13">
        <v>4</v>
      </c>
      <c r="J19" s="13">
        <v>4</v>
      </c>
      <c r="K19" s="13">
        <v>4</v>
      </c>
      <c r="L19" s="13">
        <v>8</v>
      </c>
      <c r="M19" s="13">
        <v>8</v>
      </c>
      <c r="N19" s="13">
        <v>8</v>
      </c>
      <c r="O19" s="13">
        <v>8</v>
      </c>
      <c r="P19" s="13">
        <v>8</v>
      </c>
      <c r="Q19" s="13">
        <v>8</v>
      </c>
      <c r="R19" s="13">
        <v>8</v>
      </c>
      <c r="S19" s="13">
        <v>8</v>
      </c>
      <c r="T19" s="13">
        <v>8</v>
      </c>
      <c r="U19" s="13">
        <v>8</v>
      </c>
    </row>
    <row r="20" spans="1:6" ht="12.75">
      <c r="A20" s="15" t="s">
        <v>56</v>
      </c>
      <c r="B20" s="37" t="s">
        <v>430</v>
      </c>
      <c r="C20" s="35" t="str">
        <f t="shared" si="1"/>
        <v>bdev</v>
      </c>
      <c r="D20" s="15" t="s">
        <v>151</v>
      </c>
      <c r="E20" s="39"/>
      <c r="F20" s="13">
        <v>32</v>
      </c>
    </row>
    <row r="21" spans="1:21" ht="12.75">
      <c r="A21" s="138" t="str">
        <f aca="true" t="shared" si="4" ref="A21:B21">A20</f>
        <v>JLong</v>
      </c>
      <c r="B21" s="43" t="str">
        <f t="shared" si="4"/>
        <v>bdev</v>
      </c>
      <c r="C21" s="45" t="str">
        <f t="shared" si="1"/>
        <v>bdevT</v>
      </c>
      <c r="D21" s="47" t="str">
        <f>"TOTAL Avail: "&amp;A21</f>
        <v>TOTAL Avail: JLong</v>
      </c>
      <c r="E21" s="49"/>
      <c r="F21" s="51" t="str">
        <f aca="true" t="shared" si="5" ref="F21:U21">32-SUM(F14:F20)</f>
        <v>0</v>
      </c>
      <c r="G21" s="51" t="str">
        <f t="shared" si="5"/>
        <v>0</v>
      </c>
      <c r="H21" s="51" t="str">
        <f t="shared" si="5"/>
        <v>-1</v>
      </c>
      <c r="I21" s="51" t="str">
        <f t="shared" si="5"/>
        <v>-15</v>
      </c>
      <c r="J21" s="51" t="str">
        <f t="shared" si="5"/>
        <v>-1</v>
      </c>
      <c r="K21" s="51" t="str">
        <f t="shared" si="5"/>
        <v>0</v>
      </c>
      <c r="L21" s="51" t="str">
        <f t="shared" si="5"/>
        <v>0</v>
      </c>
      <c r="M21" s="51" t="str">
        <f t="shared" si="5"/>
        <v>0</v>
      </c>
      <c r="N21" s="51" t="str">
        <f t="shared" si="5"/>
        <v>0</v>
      </c>
      <c r="O21" s="51" t="str">
        <f t="shared" si="5"/>
        <v>0</v>
      </c>
      <c r="P21" s="51" t="str">
        <f t="shared" si="5"/>
        <v>0</v>
      </c>
      <c r="Q21" s="51" t="str">
        <f t="shared" si="5"/>
        <v>0</v>
      </c>
      <c r="R21" s="51" t="str">
        <f t="shared" si="5"/>
        <v>0</v>
      </c>
      <c r="S21" s="51" t="str">
        <f t="shared" si="5"/>
        <v>0</v>
      </c>
      <c r="T21" s="51" t="str">
        <f t="shared" si="5"/>
        <v>0</v>
      </c>
      <c r="U21" s="51" t="str">
        <f t="shared" si="5"/>
        <v>0</v>
      </c>
    </row>
    <row r="22" spans="1:21" ht="12" customHeight="1">
      <c r="A22" s="33" t="s">
        <v>502</v>
      </c>
      <c r="B22" s="37" t="s">
        <v>430</v>
      </c>
      <c r="C22" s="35" t="str">
        <f t="shared" si="1"/>
        <v>bdev</v>
      </c>
      <c r="D22" s="15" t="s">
        <v>146</v>
      </c>
      <c r="E22" s="15" t="s">
        <v>165</v>
      </c>
      <c r="G22" s="13">
        <v>12</v>
      </c>
      <c r="H22" s="13">
        <v>12</v>
      </c>
      <c r="I22" s="13">
        <v>12</v>
      </c>
      <c r="J22" s="13">
        <v>11</v>
      </c>
      <c r="K22" s="13">
        <v>10</v>
      </c>
      <c r="L22" s="13">
        <v>14</v>
      </c>
      <c r="M22" s="13">
        <v>14</v>
      </c>
      <c r="N22" s="13">
        <v>14</v>
      </c>
      <c r="O22" s="13">
        <v>14</v>
      </c>
      <c r="P22" s="13">
        <v>14</v>
      </c>
      <c r="Q22" s="13">
        <v>14</v>
      </c>
      <c r="R22" s="13">
        <v>14</v>
      </c>
      <c r="S22" s="13">
        <v>14</v>
      </c>
      <c r="T22" s="13">
        <v>14</v>
      </c>
      <c r="U22" s="13">
        <v>14</v>
      </c>
    </row>
    <row r="23" spans="1:10" ht="12.75">
      <c r="A23" s="33" t="s">
        <v>502</v>
      </c>
      <c r="B23" s="37" t="s">
        <v>430</v>
      </c>
      <c r="C23" s="35" t="str">
        <f t="shared" si="1"/>
        <v>bdev</v>
      </c>
      <c r="D23" s="15" t="s">
        <v>478</v>
      </c>
      <c r="E23" s="15" t="s">
        <v>503</v>
      </c>
      <c r="J23" s="13">
        <v>1</v>
      </c>
    </row>
    <row r="24" spans="1:10" ht="12.75">
      <c r="A24" s="33" t="s">
        <v>502</v>
      </c>
      <c r="B24" s="37" t="s">
        <v>430</v>
      </c>
      <c r="C24" s="35" t="str">
        <f t="shared" si="1"/>
        <v>bdev</v>
      </c>
      <c r="D24" s="15" t="s">
        <v>206</v>
      </c>
      <c r="E24" s="15" t="s">
        <v>504</v>
      </c>
      <c r="J24" s="13">
        <v>1</v>
      </c>
    </row>
    <row r="25" spans="1:6" ht="12.75">
      <c r="A25" s="33" t="s">
        <v>502</v>
      </c>
      <c r="B25" s="37" t="s">
        <v>430</v>
      </c>
      <c r="C25" s="35" t="str">
        <f t="shared" si="1"/>
        <v>bdev</v>
      </c>
      <c r="D25" s="15" t="s">
        <v>151</v>
      </c>
      <c r="E25" s="39"/>
      <c r="F25" s="13">
        <v>16</v>
      </c>
    </row>
    <row r="26" spans="1:21" ht="12.75">
      <c r="A26" s="138" t="str">
        <f aca="true" t="shared" si="6" ref="A26:B26">A25</f>
        <v>SJones</v>
      </c>
      <c r="B26" s="43" t="str">
        <f t="shared" si="6"/>
        <v>bdev</v>
      </c>
      <c r="C26" s="45" t="str">
        <f t="shared" si="1"/>
        <v>bdevT</v>
      </c>
      <c r="D26" s="47" t="str">
        <f>"TOTAL Avail: "&amp;A26</f>
        <v>TOTAL Avail: SJones</v>
      </c>
      <c r="E26" s="49"/>
      <c r="F26" s="51" t="str">
        <f>hrsperweek-SUM(F22:F25)</f>
        <v>16</v>
      </c>
      <c r="G26" s="51" t="str">
        <f>hrsperweek-SUM(G22:G25)</f>
        <v>20</v>
      </c>
      <c r="H26" s="51" t="str">
        <f>hrsperweek-SUM(H22:H25)</f>
        <v>20</v>
      </c>
      <c r="I26" s="51" t="str">
        <f>hrsperweek-SUM(I22:I25)</f>
        <v>20</v>
      </c>
      <c r="J26" s="51" t="str">
        <f>hrsperweek-SUM(J22:J25)</f>
        <v>19</v>
      </c>
      <c r="K26" s="51" t="str">
        <f>hrsperweek-SUM(K22:K25)</f>
        <v>22</v>
      </c>
      <c r="L26" s="51" t="str">
        <f>hrsperweek-SUM(L22:L25)</f>
        <v>18</v>
      </c>
      <c r="M26" s="51" t="str">
        <f>hrsperweek-SUM(M22:M25)</f>
        <v>18</v>
      </c>
      <c r="N26" s="51" t="str">
        <f>hrsperweek-SUM(N22:N25)</f>
        <v>18</v>
      </c>
      <c r="O26" s="51" t="str">
        <f>hrsperweek-SUM(O22:O25)</f>
        <v>18</v>
      </c>
      <c r="P26" s="51" t="str">
        <f>hrsperweek-SUM(P22:P25)</f>
        <v>18</v>
      </c>
      <c r="Q26" s="51" t="str">
        <f>hrsperweek-SUM(Q22:Q25)</f>
        <v>18</v>
      </c>
      <c r="R26" s="51" t="str">
        <f>hrsperweek-SUM(R22:R25)</f>
        <v>18</v>
      </c>
      <c r="S26" s="51" t="str">
        <f>hrsperweek-SUM(S22:S25)</f>
        <v>18</v>
      </c>
      <c r="T26" s="51" t="str">
        <f>hrsperweek-SUM(T22:T25)</f>
        <v>18</v>
      </c>
      <c r="U26" s="51" t="str">
        <f>hrsperweek-SUM(U22:U25)</f>
        <v>18</v>
      </c>
    </row>
    <row r="27" spans="1:21" ht="12" customHeight="1">
      <c r="A27" s="37" t="s">
        <v>526</v>
      </c>
      <c r="B27" s="13" t="s">
        <v>527</v>
      </c>
      <c r="C27" s="35" t="str">
        <f t="shared" si="1"/>
        <v>qa</v>
      </c>
      <c r="D27" s="15" t="s">
        <v>528</v>
      </c>
      <c r="F27" t="str">
        <f aca="true" t="shared" si="7" ref="F27:U27">RANDBETWEEN(1,10)</f>
        <v>5</v>
      </c>
      <c r="G27" t="str">
        <f t="shared" si="7"/>
        <v>4</v>
      </c>
      <c r="H27" t="str">
        <f t="shared" si="7"/>
        <v>3</v>
      </c>
      <c r="I27" t="str">
        <f t="shared" si="7"/>
        <v>7</v>
      </c>
      <c r="J27" t="str">
        <f t="shared" si="7"/>
        <v>2</v>
      </c>
      <c r="K27" t="str">
        <f t="shared" si="7"/>
        <v>9</v>
      </c>
      <c r="L27" t="str">
        <f t="shared" si="7"/>
        <v>7</v>
      </c>
      <c r="M27" t="str">
        <f t="shared" si="7"/>
        <v>6</v>
      </c>
      <c r="N27" t="str">
        <f t="shared" si="7"/>
        <v>2</v>
      </c>
      <c r="O27" t="str">
        <f t="shared" si="7"/>
        <v>9</v>
      </c>
      <c r="P27" t="str">
        <f t="shared" si="7"/>
        <v>3</v>
      </c>
      <c r="Q27" t="str">
        <f t="shared" si="7"/>
        <v>8</v>
      </c>
      <c r="R27" t="str">
        <f t="shared" si="7"/>
        <v>2</v>
      </c>
      <c r="S27" t="str">
        <f t="shared" si="7"/>
        <v>2</v>
      </c>
      <c r="T27" t="str">
        <f t="shared" si="7"/>
        <v>2</v>
      </c>
      <c r="U27" t="str">
        <f t="shared" si="7"/>
        <v>7</v>
      </c>
    </row>
    <row r="28" spans="1:21" ht="12" customHeight="1">
      <c r="A28" s="37" t="s">
        <v>526</v>
      </c>
      <c r="B28" s="13" t="s">
        <v>527</v>
      </c>
      <c r="C28" s="35" t="str">
        <f t="shared" si="1"/>
        <v>qa</v>
      </c>
      <c r="D28" s="37" t="s">
        <v>540</v>
      </c>
      <c r="F28" t="str">
        <f aca="true" t="shared" si="8" ref="F28:U28">RANDBETWEEN(1,10)</f>
        <v>8</v>
      </c>
      <c r="G28" t="str">
        <f t="shared" si="8"/>
        <v>8</v>
      </c>
      <c r="H28" t="str">
        <f t="shared" si="8"/>
        <v>5</v>
      </c>
      <c r="I28" t="str">
        <f t="shared" si="8"/>
        <v>2</v>
      </c>
      <c r="J28" t="str">
        <f t="shared" si="8"/>
        <v>5</v>
      </c>
      <c r="K28" t="str">
        <f t="shared" si="8"/>
        <v>10</v>
      </c>
      <c r="L28" t="str">
        <f t="shared" si="8"/>
        <v>9</v>
      </c>
      <c r="M28" t="str">
        <f t="shared" si="8"/>
        <v>8</v>
      </c>
      <c r="N28" t="str">
        <f t="shared" si="8"/>
        <v>6</v>
      </c>
      <c r="O28" t="str">
        <f t="shared" si="8"/>
        <v>10</v>
      </c>
      <c r="P28" t="str">
        <f t="shared" si="8"/>
        <v>3</v>
      </c>
      <c r="Q28" t="str">
        <f t="shared" si="8"/>
        <v>2</v>
      </c>
      <c r="R28" t="str">
        <f t="shared" si="8"/>
        <v>2</v>
      </c>
      <c r="S28" t="str">
        <f t="shared" si="8"/>
        <v>2</v>
      </c>
      <c r="T28" t="str">
        <f t="shared" si="8"/>
        <v>8</v>
      </c>
      <c r="U28" t="str">
        <f t="shared" si="8"/>
        <v>2</v>
      </c>
    </row>
    <row r="29" spans="1:21" ht="12" customHeight="1">
      <c r="A29" s="37" t="s">
        <v>526</v>
      </c>
      <c r="B29" s="13" t="s">
        <v>527</v>
      </c>
      <c r="C29" s="35" t="str">
        <f t="shared" si="1"/>
        <v>qa</v>
      </c>
      <c r="D29" s="13" t="s">
        <v>543</v>
      </c>
      <c r="E29" s="13" t="s">
        <v>544</v>
      </c>
      <c r="F29" t="str">
        <f aca="true" t="shared" si="9" ref="F29:U29">RANDBETWEEN(1,10)</f>
        <v>8</v>
      </c>
      <c r="G29" t="str">
        <f t="shared" si="9"/>
        <v>8</v>
      </c>
      <c r="H29" t="str">
        <f t="shared" si="9"/>
        <v>1</v>
      </c>
      <c r="I29" t="str">
        <f t="shared" si="9"/>
        <v>3</v>
      </c>
      <c r="J29" t="str">
        <f t="shared" si="9"/>
        <v>8</v>
      </c>
      <c r="K29" t="str">
        <f t="shared" si="9"/>
        <v>2</v>
      </c>
      <c r="L29" t="str">
        <f t="shared" si="9"/>
        <v>9</v>
      </c>
      <c r="M29" t="str">
        <f t="shared" si="9"/>
        <v>9</v>
      </c>
      <c r="N29" t="str">
        <f t="shared" si="9"/>
        <v>8</v>
      </c>
      <c r="O29" t="str">
        <f t="shared" si="9"/>
        <v>4</v>
      </c>
      <c r="P29" t="str">
        <f t="shared" si="9"/>
        <v>3</v>
      </c>
      <c r="Q29" t="str">
        <f t="shared" si="9"/>
        <v>7</v>
      </c>
      <c r="R29" t="str">
        <f t="shared" si="9"/>
        <v>7</v>
      </c>
      <c r="S29" t="str">
        <f t="shared" si="9"/>
        <v>6</v>
      </c>
      <c r="T29" t="str">
        <f t="shared" si="9"/>
        <v>3</v>
      </c>
      <c r="U29" t="str">
        <f t="shared" si="9"/>
        <v>5</v>
      </c>
    </row>
    <row r="30" spans="1:21" ht="12" customHeight="1">
      <c r="A30" s="37" t="s">
        <v>526</v>
      </c>
      <c r="B30" s="13" t="s">
        <v>527</v>
      </c>
      <c r="C30" s="35" t="str">
        <f t="shared" si="1"/>
        <v>qa</v>
      </c>
      <c r="D30" s="13" t="s">
        <v>545</v>
      </c>
      <c r="E30" s="13" t="s">
        <v>544</v>
      </c>
      <c r="F30" t="str">
        <f aca="true" t="shared" si="10" ref="F30:U30">RANDBETWEEN(1,10)</f>
        <v>4</v>
      </c>
      <c r="G30" t="str">
        <f t="shared" si="10"/>
        <v>3</v>
      </c>
      <c r="H30" t="str">
        <f t="shared" si="10"/>
        <v>1</v>
      </c>
      <c r="I30" t="str">
        <f t="shared" si="10"/>
        <v>1</v>
      </c>
      <c r="J30" t="str">
        <f t="shared" si="10"/>
        <v>9</v>
      </c>
      <c r="K30" t="str">
        <f t="shared" si="10"/>
        <v>3</v>
      </c>
      <c r="L30" t="str">
        <f t="shared" si="10"/>
        <v>2</v>
      </c>
      <c r="M30" t="str">
        <f t="shared" si="10"/>
        <v>6</v>
      </c>
      <c r="N30" t="str">
        <f t="shared" si="10"/>
        <v>6</v>
      </c>
      <c r="O30" t="str">
        <f t="shared" si="10"/>
        <v>7</v>
      </c>
      <c r="P30" t="str">
        <f t="shared" si="10"/>
        <v>5</v>
      </c>
      <c r="Q30" t="str">
        <f t="shared" si="10"/>
        <v>4</v>
      </c>
      <c r="R30" t="str">
        <f t="shared" si="10"/>
        <v>10</v>
      </c>
      <c r="S30" t="str">
        <f t="shared" si="10"/>
        <v>9</v>
      </c>
      <c r="T30" t="str">
        <f t="shared" si="10"/>
        <v>6</v>
      </c>
      <c r="U30" t="str">
        <f t="shared" si="10"/>
        <v>9</v>
      </c>
    </row>
    <row r="31" spans="1:21" ht="12" customHeight="1">
      <c r="A31" s="37" t="s">
        <v>526</v>
      </c>
      <c r="B31" s="13" t="s">
        <v>527</v>
      </c>
      <c r="C31" s="35" t="str">
        <f t="shared" si="1"/>
        <v>qa</v>
      </c>
      <c r="D31" s="13" t="s">
        <v>547</v>
      </c>
      <c r="E31" s="13" t="s">
        <v>548</v>
      </c>
      <c r="F31" t="str">
        <f aca="true" t="shared" si="11" ref="F31:U31">RANDBETWEEN(1,10)</f>
        <v>9</v>
      </c>
      <c r="G31" t="str">
        <f t="shared" si="11"/>
        <v>7</v>
      </c>
      <c r="H31" t="str">
        <f t="shared" si="11"/>
        <v>9</v>
      </c>
      <c r="I31" t="str">
        <f t="shared" si="11"/>
        <v>6</v>
      </c>
      <c r="J31" t="str">
        <f t="shared" si="11"/>
        <v>3</v>
      </c>
      <c r="K31" t="str">
        <f t="shared" si="11"/>
        <v>3</v>
      </c>
      <c r="L31" t="str">
        <f t="shared" si="11"/>
        <v>4</v>
      </c>
      <c r="M31" t="str">
        <f t="shared" si="11"/>
        <v>5</v>
      </c>
      <c r="N31" t="str">
        <f t="shared" si="11"/>
        <v>8</v>
      </c>
      <c r="O31" t="str">
        <f t="shared" si="11"/>
        <v>5</v>
      </c>
      <c r="P31" t="str">
        <f t="shared" si="11"/>
        <v>2</v>
      </c>
      <c r="Q31" t="str">
        <f t="shared" si="11"/>
        <v>2</v>
      </c>
      <c r="R31" t="str">
        <f t="shared" si="11"/>
        <v>3</v>
      </c>
      <c r="S31" t="str">
        <f t="shared" si="11"/>
        <v>7</v>
      </c>
      <c r="T31" t="str">
        <f t="shared" si="11"/>
        <v>7</v>
      </c>
      <c r="U31" t="str">
        <f t="shared" si="11"/>
        <v>6</v>
      </c>
    </row>
    <row r="32" spans="1:21" ht="12" customHeight="1">
      <c r="A32" s="37" t="s">
        <v>526</v>
      </c>
      <c r="B32" s="13" t="s">
        <v>527</v>
      </c>
      <c r="C32" s="35" t="str">
        <f t="shared" si="1"/>
        <v>qa</v>
      </c>
      <c r="D32" s="13" t="s">
        <v>15</v>
      </c>
      <c r="F32" t="str">
        <f aca="true" t="shared" si="12" ref="F32:U32">RANDBETWEEN(1,10)</f>
        <v>7</v>
      </c>
      <c r="G32" t="str">
        <f t="shared" si="12"/>
        <v>4</v>
      </c>
      <c r="H32" t="str">
        <f t="shared" si="12"/>
        <v>5</v>
      </c>
      <c r="I32" t="str">
        <f t="shared" si="12"/>
        <v>5</v>
      </c>
      <c r="J32" t="str">
        <f t="shared" si="12"/>
        <v>3</v>
      </c>
      <c r="K32" t="str">
        <f t="shared" si="12"/>
        <v>1</v>
      </c>
      <c r="L32" t="str">
        <f t="shared" si="12"/>
        <v>3</v>
      </c>
      <c r="M32" t="str">
        <f t="shared" si="12"/>
        <v>2</v>
      </c>
      <c r="N32" t="str">
        <f t="shared" si="12"/>
        <v>7</v>
      </c>
      <c r="O32" t="str">
        <f t="shared" si="12"/>
        <v>5</v>
      </c>
      <c r="P32" t="str">
        <f t="shared" si="12"/>
        <v>7</v>
      </c>
      <c r="Q32" t="str">
        <f t="shared" si="12"/>
        <v>5</v>
      </c>
      <c r="R32" t="str">
        <f t="shared" si="12"/>
        <v>10</v>
      </c>
      <c r="S32" t="str">
        <f t="shared" si="12"/>
        <v>6</v>
      </c>
      <c r="T32" t="str">
        <f t="shared" si="12"/>
        <v>5</v>
      </c>
      <c r="U32" t="str">
        <f t="shared" si="12"/>
        <v>4</v>
      </c>
    </row>
    <row r="33" spans="1:21" ht="12" customHeight="1">
      <c r="A33" s="37" t="s">
        <v>526</v>
      </c>
      <c r="B33" s="13" t="s">
        <v>527</v>
      </c>
      <c r="C33" s="35" t="str">
        <f t="shared" si="1"/>
        <v>qa</v>
      </c>
      <c r="D33" s="15" t="s">
        <v>151</v>
      </c>
      <c r="E33" s="39"/>
      <c r="F33" t="str">
        <f aca="true" t="shared" si="13" ref="F33:U33">RANDBETWEEN(1,10)</f>
        <v>3</v>
      </c>
      <c r="G33" t="str">
        <f t="shared" si="13"/>
        <v>3</v>
      </c>
      <c r="H33" t="str">
        <f t="shared" si="13"/>
        <v>1</v>
      </c>
      <c r="I33" t="str">
        <f t="shared" si="13"/>
        <v>7</v>
      </c>
      <c r="J33" t="str">
        <f t="shared" si="13"/>
        <v>3</v>
      </c>
      <c r="K33" t="str">
        <f t="shared" si="13"/>
        <v>5</v>
      </c>
      <c r="L33" t="str">
        <f t="shared" si="13"/>
        <v>5</v>
      </c>
      <c r="M33" t="str">
        <f t="shared" si="13"/>
        <v>7</v>
      </c>
      <c r="N33" t="str">
        <f t="shared" si="13"/>
        <v>2</v>
      </c>
      <c r="O33" t="str">
        <f t="shared" si="13"/>
        <v>10</v>
      </c>
      <c r="P33" t="str">
        <f t="shared" si="13"/>
        <v>10</v>
      </c>
      <c r="Q33" t="str">
        <f t="shared" si="13"/>
        <v>5</v>
      </c>
      <c r="R33" t="str">
        <f t="shared" si="13"/>
        <v>4</v>
      </c>
      <c r="S33" t="str">
        <f t="shared" si="13"/>
        <v>10</v>
      </c>
      <c r="T33" t="str">
        <f t="shared" si="13"/>
        <v>6</v>
      </c>
      <c r="U33" t="str">
        <f t="shared" si="13"/>
        <v>1</v>
      </c>
    </row>
    <row r="34" spans="1:21" ht="12" customHeight="1">
      <c r="A34" s="138" t="str">
        <f aca="true" t="shared" si="14" ref="A34:B34">A33</f>
        <v>MSimpson</v>
      </c>
      <c r="B34" s="43" t="str">
        <f t="shared" si="14"/>
        <v>qa</v>
      </c>
      <c r="C34" s="45" t="str">
        <f t="shared" si="1"/>
        <v>qaT</v>
      </c>
      <c r="D34" s="47" t="str">
        <f>"TOTAL Avail: "&amp;A34</f>
        <v>TOTAL Avail: MSimpson</v>
      </c>
      <c r="E34" s="49"/>
      <c r="F34" s="51" t="str">
        <f>hrsperweek-SUM(F27:F33)</f>
        <v>-12</v>
      </c>
      <c r="G34" s="51" t="str">
        <f>hrsperweek-SUM(G27:G33)</f>
        <v>-5</v>
      </c>
      <c r="H34" s="51" t="str">
        <f>hrsperweek-SUM(H27:H33)</f>
        <v>7</v>
      </c>
      <c r="I34" s="51" t="str">
        <f>hrsperweek-SUM(I27:I33)</f>
        <v>1</v>
      </c>
      <c r="J34" s="51" t="str">
        <f>hrsperweek-SUM(J27:J33)</f>
        <v>-1</v>
      </c>
      <c r="K34" s="51" t="str">
        <f>hrsperweek-SUM(K27:K33)</f>
        <v>-1</v>
      </c>
      <c r="L34" s="51" t="str">
        <f>hrsperweek-SUM(L27:L33)</f>
        <v>-7</v>
      </c>
      <c r="M34" s="51" t="str">
        <f>hrsperweek-SUM(M27:M33)</f>
        <v>-11</v>
      </c>
      <c r="N34" s="51" t="str">
        <f>hrsperweek-SUM(N27:N33)</f>
        <v>-7</v>
      </c>
      <c r="O34" s="51" t="str">
        <f>hrsperweek-SUM(O27:O33)</f>
        <v>-18</v>
      </c>
      <c r="P34" s="51" t="str">
        <f>hrsperweek-SUM(P27:P33)</f>
        <v>-1</v>
      </c>
      <c r="Q34" s="51" t="str">
        <f>hrsperweek-SUM(Q27:Q33)</f>
        <v>-1</v>
      </c>
      <c r="R34" s="51" t="str">
        <f>hrsperweek-SUM(R27:R33)</f>
        <v>-6</v>
      </c>
      <c r="S34" s="51" t="str">
        <f>hrsperweek-SUM(S27:S33)</f>
        <v>-10</v>
      </c>
      <c r="T34" s="51" t="str">
        <f>hrsperweek-SUM(T27:T33)</f>
        <v>-5</v>
      </c>
      <c r="U34" s="51" t="str">
        <f>hrsperweek-SUM(U27:U33)</f>
        <v>-2</v>
      </c>
    </row>
    <row r="35" spans="1:21" ht="12" customHeight="1">
      <c r="A35" s="37" t="s">
        <v>559</v>
      </c>
      <c r="B35" s="13" t="s">
        <v>527</v>
      </c>
      <c r="C35" s="35" t="str">
        <f t="shared" si="1"/>
        <v>qa</v>
      </c>
      <c r="D35" s="13" t="s">
        <v>560</v>
      </c>
      <c r="F35" s="13" t="s">
        <v>561</v>
      </c>
      <c r="G35" s="13">
        <v>3</v>
      </c>
      <c r="H35" s="13">
        <v>3</v>
      </c>
      <c r="I35" s="13">
        <v>3</v>
      </c>
      <c r="J35" s="13">
        <v>3</v>
      </c>
      <c r="K35" s="13">
        <v>3</v>
      </c>
      <c r="L35" s="13">
        <v>3</v>
      </c>
      <c r="M35" s="13">
        <v>3</v>
      </c>
      <c r="N35" s="13">
        <v>3</v>
      </c>
      <c r="O35" s="13">
        <v>3</v>
      </c>
      <c r="P35" s="13">
        <v>3</v>
      </c>
      <c r="Q35" s="13">
        <v>3</v>
      </c>
      <c r="R35" s="13">
        <v>3</v>
      </c>
      <c r="S35" s="13">
        <v>3</v>
      </c>
      <c r="T35" s="13">
        <v>3</v>
      </c>
      <c r="U35" s="13">
        <v>3</v>
      </c>
    </row>
    <row r="36" spans="1:21" ht="12" customHeight="1">
      <c r="A36" s="37" t="s">
        <v>559</v>
      </c>
      <c r="B36" s="13" t="s">
        <v>527</v>
      </c>
      <c r="C36" s="35" t="str">
        <f t="shared" si="1"/>
        <v>qa</v>
      </c>
      <c r="D36" s="13" t="s">
        <v>168</v>
      </c>
      <c r="G36" s="13">
        <v>6</v>
      </c>
      <c r="H36" s="13">
        <v>6</v>
      </c>
      <c r="I36" s="13">
        <v>6</v>
      </c>
      <c r="J36" s="13">
        <v>6</v>
      </c>
      <c r="K36" s="13">
        <v>6</v>
      </c>
      <c r="L36" s="13">
        <v>7</v>
      </c>
      <c r="M36" s="13">
        <v>7</v>
      </c>
      <c r="N36" s="13">
        <v>7</v>
      </c>
      <c r="O36" s="13">
        <v>7</v>
      </c>
      <c r="P36" s="13">
        <v>7</v>
      </c>
      <c r="Q36" s="13">
        <v>7</v>
      </c>
      <c r="R36" s="13">
        <v>7</v>
      </c>
      <c r="S36" s="13">
        <v>7</v>
      </c>
      <c r="T36" s="13">
        <v>7</v>
      </c>
      <c r="U36" s="13">
        <v>7</v>
      </c>
    </row>
    <row r="37" spans="1:21" ht="12" customHeight="1">
      <c r="A37" s="37" t="s">
        <v>559</v>
      </c>
      <c r="B37" s="13" t="s">
        <v>527</v>
      </c>
      <c r="C37" s="35" t="str">
        <f t="shared" si="1"/>
        <v>qa</v>
      </c>
      <c r="D37" s="13" t="s">
        <v>545</v>
      </c>
      <c r="E37" s="13" t="s">
        <v>566</v>
      </c>
      <c r="G37" s="13">
        <v>20</v>
      </c>
      <c r="H37" s="13">
        <v>10</v>
      </c>
      <c r="I37" s="13">
        <v>10</v>
      </c>
      <c r="J37" s="13">
        <v>10</v>
      </c>
      <c r="K37" s="13">
        <v>10</v>
      </c>
      <c r="L37" s="13">
        <v>10</v>
      </c>
      <c r="M37" s="13">
        <v>10</v>
      </c>
      <c r="N37" s="13">
        <v>10</v>
      </c>
      <c r="O37" s="13">
        <v>10</v>
      </c>
      <c r="P37" s="13">
        <v>10</v>
      </c>
      <c r="Q37" s="13">
        <v>10</v>
      </c>
      <c r="R37" s="13">
        <v>10</v>
      </c>
      <c r="S37" s="13">
        <v>10</v>
      </c>
      <c r="T37" s="13">
        <v>10</v>
      </c>
      <c r="U37" s="13">
        <v>10</v>
      </c>
    </row>
    <row r="38" spans="1:21" ht="12" customHeight="1">
      <c r="A38" s="37" t="s">
        <v>559</v>
      </c>
      <c r="B38" s="13" t="s">
        <v>527</v>
      </c>
      <c r="C38" s="35" t="str">
        <f t="shared" si="1"/>
        <v>qa</v>
      </c>
      <c r="D38" s="13" t="s">
        <v>159</v>
      </c>
      <c r="G38" s="13">
        <v>1</v>
      </c>
      <c r="H38" s="13">
        <v>2</v>
      </c>
      <c r="I38" s="13">
        <v>3</v>
      </c>
      <c r="J38" s="13">
        <v>3</v>
      </c>
      <c r="K38" s="13">
        <v>4</v>
      </c>
      <c r="L38" s="13">
        <v>5</v>
      </c>
      <c r="M38" s="13">
        <v>5</v>
      </c>
      <c r="N38" s="13">
        <v>5</v>
      </c>
      <c r="O38" s="13">
        <v>5</v>
      </c>
      <c r="P38" s="13">
        <v>5</v>
      </c>
      <c r="Q38" s="13">
        <v>5</v>
      </c>
      <c r="R38" s="13">
        <v>5</v>
      </c>
      <c r="S38" s="13">
        <v>5</v>
      </c>
      <c r="T38" s="13">
        <v>5</v>
      </c>
      <c r="U38" s="13">
        <v>5</v>
      </c>
    </row>
    <row r="39" spans="1:21" ht="12" customHeight="1">
      <c r="A39" s="37" t="s">
        <v>559</v>
      </c>
      <c r="B39" s="13" t="s">
        <v>527</v>
      </c>
      <c r="C39" s="35" t="str">
        <f t="shared" si="1"/>
        <v>qa</v>
      </c>
      <c r="D39" s="13" t="s">
        <v>298</v>
      </c>
      <c r="I39" s="13">
        <v>14</v>
      </c>
      <c r="J39" s="13">
        <v>2</v>
      </c>
      <c r="K39" s="13">
        <v>3</v>
      </c>
      <c r="L39" s="13">
        <v>5</v>
      </c>
      <c r="M39" s="13">
        <v>5</v>
      </c>
      <c r="N39" s="13">
        <v>5</v>
      </c>
      <c r="O39" s="13">
        <v>5</v>
      </c>
      <c r="P39" s="13">
        <v>5</v>
      </c>
      <c r="Q39" s="13">
        <v>5</v>
      </c>
      <c r="R39" s="13">
        <v>5</v>
      </c>
      <c r="S39" s="13">
        <v>5</v>
      </c>
      <c r="T39" s="13">
        <v>5</v>
      </c>
      <c r="U39" s="13">
        <v>5</v>
      </c>
    </row>
    <row r="40" spans="1:21" ht="12" customHeight="1">
      <c r="A40" s="37" t="s">
        <v>559</v>
      </c>
      <c r="B40" s="13" t="s">
        <v>527</v>
      </c>
      <c r="C40" s="35" t="str">
        <f t="shared" si="1"/>
        <v>qa</v>
      </c>
      <c r="D40" s="15" t="s">
        <v>151</v>
      </c>
      <c r="E40" s="39"/>
      <c r="F40" s="13">
        <v>32</v>
      </c>
      <c r="G40" s="13" t="s">
        <v>561</v>
      </c>
      <c r="H40" s="13" t="s">
        <v>561</v>
      </c>
      <c r="I40" s="13" t="s">
        <v>561</v>
      </c>
      <c r="J40" s="13" t="s">
        <v>561</v>
      </c>
      <c r="K40" s="13" t="s">
        <v>561</v>
      </c>
      <c r="L40" s="13" t="s">
        <v>561</v>
      </c>
      <c r="M40" s="13" t="s">
        <v>561</v>
      </c>
      <c r="N40" s="13" t="s">
        <v>561</v>
      </c>
      <c r="O40" s="13" t="s">
        <v>561</v>
      </c>
      <c r="P40" s="13" t="s">
        <v>561</v>
      </c>
      <c r="Q40" s="13" t="s">
        <v>561</v>
      </c>
      <c r="R40" s="13" t="s">
        <v>561</v>
      </c>
      <c r="S40" s="13" t="s">
        <v>561</v>
      </c>
      <c r="T40" s="13" t="s">
        <v>561</v>
      </c>
      <c r="U40" s="13" t="s">
        <v>561</v>
      </c>
    </row>
    <row r="41" spans="1:21" ht="12" customHeight="1">
      <c r="A41" s="70" t="str">
        <f>A35</f>
        <v>EPresley</v>
      </c>
      <c r="B41" s="57" t="s">
        <v>527</v>
      </c>
      <c r="C41" s="45" t="str">
        <f t="shared" si="1"/>
        <v>qaT</v>
      </c>
      <c r="D41" s="47" t="str">
        <f>"TOTAL Avail: "&amp;A41</f>
        <v>TOTAL Avail: EPresley</v>
      </c>
      <c r="E41" s="49"/>
      <c r="F41" s="51" t="str">
        <f>hrsperweek-SUM(F35:F40)</f>
        <v>0</v>
      </c>
      <c r="G41" s="51" t="str">
        <f>hrsperweek-SUM(G35:G40)</f>
        <v>2</v>
      </c>
      <c r="H41" s="51" t="str">
        <f>hrsperweek-SUM(H35:H40)</f>
        <v>11</v>
      </c>
      <c r="I41" s="51" t="str">
        <f>hrsperweek-SUM(I35:I40)</f>
        <v>-4</v>
      </c>
      <c r="J41" s="51" t="str">
        <f>hrsperweek-SUM(J35:J40)</f>
        <v>8</v>
      </c>
      <c r="K41" s="51" t="str">
        <f>hrsperweek-SUM(K35:K40)</f>
        <v>6</v>
      </c>
      <c r="L41" s="51" t="str">
        <f>hrsperweek-SUM(L35:L40)</f>
        <v>2</v>
      </c>
      <c r="M41" s="51" t="str">
        <f>hrsperweek-SUM(M35:M40)</f>
        <v>2</v>
      </c>
      <c r="N41" s="51" t="str">
        <f>hrsperweek-SUM(N35:N40)</f>
        <v>2</v>
      </c>
      <c r="O41" s="51" t="str">
        <f>hrsperweek-SUM(O35:O40)</f>
        <v>2</v>
      </c>
      <c r="P41" s="51" t="str">
        <f>hrsperweek-SUM(P35:P40)</f>
        <v>2</v>
      </c>
      <c r="Q41" s="51" t="str">
        <f>hrsperweek-SUM(Q35:Q40)</f>
        <v>2</v>
      </c>
      <c r="R41" s="51" t="str">
        <f>hrsperweek-SUM(R35:R40)</f>
        <v>2</v>
      </c>
      <c r="S41" s="51" t="str">
        <f>hrsperweek-SUM(S35:S40)</f>
        <v>2</v>
      </c>
      <c r="T41" s="51" t="str">
        <f>hrsperweek-SUM(T35:T40)</f>
        <v>2</v>
      </c>
      <c r="U41" s="51" t="str">
        <f>hrsperweek-SUM(U35:U40)</f>
        <v>2</v>
      </c>
    </row>
  </sheetData>
  <autoFilter ref="$A$1:$E$41"/>
  <conditionalFormatting sqref="D7:E7">
    <cfRule type="cellIs" priority="1" dxfId="0" operator="greaterThan">
      <formula>32</formula>
    </cfRule>
  </conditionalFormatting>
  <conditionalFormatting sqref="D13:E13">
    <cfRule type="cellIs" priority="2" dxfId="0" operator="greaterThan">
      <formula>32</formula>
    </cfRule>
  </conditionalFormatting>
  <conditionalFormatting sqref="D21:E21 D26 D34">
    <cfRule type="cellIs" priority="3" dxfId="0" operator="greaterThan">
      <formula>32</formula>
    </cfRule>
  </conditionalFormatting>
  <conditionalFormatting sqref="D26:E26 D34">
    <cfRule type="cellIs" priority="4" dxfId="0" operator="greaterThan">
      <formula>32</formula>
    </cfRule>
  </conditionalFormatting>
  <conditionalFormatting sqref="D34:E34">
    <cfRule type="cellIs" priority="5" dxfId="0" operator="greaterThan">
      <formula>32</formula>
    </cfRule>
  </conditionalFormatting>
  <conditionalFormatting sqref="D41:E41">
    <cfRule type="cellIs" priority="6" dxfId="0" operator="greaterThan">
      <formula>32</formula>
    </cfRule>
  </conditionalFormatting>
  <conditionalFormatting sqref="F7:U7">
    <cfRule type="cellIs" priority="7" dxfId="0" operator="lessThan">
      <formula>0</formula>
    </cfRule>
  </conditionalFormatting>
  <conditionalFormatting sqref="F13:U13">
    <cfRule type="cellIs" priority="8" dxfId="0" operator="lessThan">
      <formula>0</formula>
    </cfRule>
  </conditionalFormatting>
  <conditionalFormatting sqref="F21:U21">
    <cfRule type="cellIs" priority="9" dxfId="0" operator="lessThan">
      <formula>0</formula>
    </cfRule>
  </conditionalFormatting>
  <conditionalFormatting sqref="F26:U26">
    <cfRule type="cellIs" priority="10" dxfId="0" operator="lessThan">
      <formula>0</formula>
    </cfRule>
  </conditionalFormatting>
  <conditionalFormatting sqref="F34:U34">
    <cfRule type="cellIs" priority="11" dxfId="0" operator="lessThan">
      <formula>0</formula>
    </cfRule>
  </conditionalFormatting>
  <conditionalFormatting sqref="F41:U41">
    <cfRule type="cellIs" priority="12" dxfId="0" operator="lessThan">
      <formula>0</formula>
    </cfRule>
  </conditionalFormatting>
  <conditionalFormatting sqref="F7:U7">
    <cfRule type="cellIs" priority="13" dxfId="1" operator="greaterThan">
      <formula>0</formula>
    </cfRule>
  </conditionalFormatting>
  <conditionalFormatting sqref="F13:U13">
    <cfRule type="cellIs" priority="14" dxfId="1" operator="greaterThan">
      <formula>0</formula>
    </cfRule>
  </conditionalFormatting>
  <conditionalFormatting sqref="F21:U21">
    <cfRule type="cellIs" priority="15" dxfId="1" operator="greaterThan">
      <formula>0</formula>
    </cfRule>
  </conditionalFormatting>
  <conditionalFormatting sqref="F26:U26">
    <cfRule type="cellIs" priority="16" dxfId="1" operator="greaterThan">
      <formula>0</formula>
    </cfRule>
  </conditionalFormatting>
  <conditionalFormatting sqref="F34:U34">
    <cfRule type="cellIs" priority="17" dxfId="1" operator="greaterThan">
      <formula>0</formula>
    </cfRule>
  </conditionalFormatting>
  <conditionalFormatting sqref="F41:U41">
    <cfRule type="cellIs" priority="18" dxfId="1" operator="greaterThan">
      <formula>0</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U14"/>
  <sheetViews>
    <sheetView workbookViewId="0" topLeftCell="A1">
      <pane xSplit="5" ySplit="1" topLeftCell="F2" activePane="bottomRight" state="frozen"/>
      <selection pane="topRight" activeCell="F1" sqref="F1"/>
      <selection pane="bottomLeft" activeCell="A2" sqref="A2"/>
      <selection pane="bottomRight" activeCell="F2" sqref="F2"/>
    </sheetView>
  </sheetViews>
  <sheetFormatPr defaultColWidth="14.421875" defaultRowHeight="12.75" customHeight="1"/>
  <cols>
    <col min="1" max="1" width="14.28125" style="0" customWidth="1"/>
    <col min="2" max="2" width="5.7109375" style="0" hidden="1" customWidth="1"/>
    <col min="3" max="3" width="24.28125" style="0" hidden="1" customWidth="1"/>
    <col min="4" max="4" width="29.00390625" style="0" customWidth="1"/>
    <col min="5" max="5" width="26.7109375" style="0" customWidth="1"/>
    <col min="6" max="7" width="5.57421875" style="0" customWidth="1"/>
    <col min="8" max="9" width="4.140625" style="0" customWidth="1"/>
    <col min="10" max="21" width="5.57421875" style="0" customWidth="1"/>
  </cols>
  <sheetData>
    <row r="1" spans="1:21" ht="12" customHeight="1">
      <c r="A1" s="17" t="s">
        <v>4</v>
      </c>
      <c r="B1" s="17" t="s">
        <v>10</v>
      </c>
      <c r="C1" s="17" t="s">
        <v>11</v>
      </c>
      <c r="D1" s="17" t="s">
        <v>18</v>
      </c>
      <c r="E1" s="27" t="s">
        <v>97</v>
      </c>
      <c r="F1" s="28">
        <v>42274</v>
      </c>
      <c r="G1" s="31" t="str">
        <f aca="true" t="shared" si="0" ref="G1:U1">F1+7</f>
        <v>10/4</v>
      </c>
      <c r="H1" s="31" t="str">
        <f t="shared" si="0"/>
        <v>10/11</v>
      </c>
      <c r="I1" s="31" t="str">
        <f t="shared" si="0"/>
        <v>10/18</v>
      </c>
      <c r="J1" s="31" t="str">
        <f t="shared" si="0"/>
        <v>10/25</v>
      </c>
      <c r="K1" s="31" t="str">
        <f t="shared" si="0"/>
        <v>11/1</v>
      </c>
      <c r="L1" s="31" t="str">
        <f t="shared" si="0"/>
        <v>11/8</v>
      </c>
      <c r="M1" s="31" t="str">
        <f t="shared" si="0"/>
        <v>11/15</v>
      </c>
      <c r="N1" s="31" t="str">
        <f t="shared" si="0"/>
        <v>11/22</v>
      </c>
      <c r="O1" s="31" t="str">
        <f t="shared" si="0"/>
        <v>11/29</v>
      </c>
      <c r="P1" s="31" t="str">
        <f t="shared" si="0"/>
        <v>12/6</v>
      </c>
      <c r="Q1" s="31" t="str">
        <f t="shared" si="0"/>
        <v>12/13</v>
      </c>
      <c r="R1" s="31" t="str">
        <f t="shared" si="0"/>
        <v>12/20</v>
      </c>
      <c r="S1" s="31" t="str">
        <f t="shared" si="0"/>
        <v>12/27</v>
      </c>
      <c r="T1" s="31" t="str">
        <f t="shared" si="0"/>
        <v>1/3</v>
      </c>
      <c r="U1" s="31" t="str">
        <f t="shared" si="0"/>
        <v>1/10</v>
      </c>
    </row>
    <row r="2" spans="1:21" ht="12" customHeight="1">
      <c r="A2" s="37" t="s">
        <v>140</v>
      </c>
      <c r="B2" s="37" t="s">
        <v>155</v>
      </c>
      <c r="C2" s="35" t="str">
        <f aca="true" t="shared" si="1" ref="C2:C14">B2&amp;IF(LEFT(D2,5)="TOTAL","T","")</f>
        <v>pm</v>
      </c>
      <c r="D2" s="13" t="s">
        <v>159</v>
      </c>
      <c r="E2" s="13"/>
      <c r="G2" s="13">
        <v>8</v>
      </c>
      <c r="H2" s="13">
        <v>10</v>
      </c>
      <c r="I2" s="13">
        <v>10</v>
      </c>
      <c r="J2" s="13">
        <v>10</v>
      </c>
      <c r="K2" s="13">
        <v>8</v>
      </c>
      <c r="L2" s="13">
        <v>8</v>
      </c>
      <c r="M2" s="13">
        <v>8</v>
      </c>
      <c r="N2" s="13">
        <v>8</v>
      </c>
      <c r="O2" s="13">
        <v>8</v>
      </c>
      <c r="P2" s="13">
        <v>8</v>
      </c>
      <c r="Q2" s="13">
        <v>8</v>
      </c>
      <c r="R2" s="13">
        <v>8</v>
      </c>
      <c r="S2" s="13">
        <v>8</v>
      </c>
      <c r="T2" s="13">
        <v>8</v>
      </c>
      <c r="U2" s="13">
        <v>8</v>
      </c>
    </row>
    <row r="3" spans="1:21" ht="12" customHeight="1">
      <c r="A3" s="37" t="s">
        <v>140</v>
      </c>
      <c r="B3" s="37" t="s">
        <v>155</v>
      </c>
      <c r="C3" s="35" t="str">
        <f t="shared" si="1"/>
        <v>pm</v>
      </c>
      <c r="D3" s="37" t="s">
        <v>163</v>
      </c>
      <c r="E3" s="13"/>
      <c r="G3" s="13">
        <v>8</v>
      </c>
      <c r="H3" s="13">
        <v>10</v>
      </c>
      <c r="I3" s="13">
        <v>10</v>
      </c>
      <c r="J3" s="13">
        <v>10</v>
      </c>
      <c r="K3" s="13">
        <v>10</v>
      </c>
      <c r="L3" s="13">
        <v>10</v>
      </c>
      <c r="M3" s="13">
        <v>10</v>
      </c>
      <c r="N3" s="13">
        <v>10</v>
      </c>
      <c r="O3" s="13">
        <v>10</v>
      </c>
      <c r="P3" s="13">
        <v>10</v>
      </c>
      <c r="Q3" s="13">
        <v>10</v>
      </c>
      <c r="R3" s="13">
        <v>10</v>
      </c>
      <c r="S3" s="13">
        <v>10</v>
      </c>
      <c r="T3" s="13">
        <v>10</v>
      </c>
      <c r="U3" s="13">
        <v>10</v>
      </c>
    </row>
    <row r="4" spans="1:21" ht="12" customHeight="1">
      <c r="A4" s="37" t="s">
        <v>140</v>
      </c>
      <c r="B4" s="37" t="s">
        <v>155</v>
      </c>
      <c r="C4" s="35" t="str">
        <f t="shared" si="1"/>
        <v>pm</v>
      </c>
      <c r="D4" s="13" t="s">
        <v>167</v>
      </c>
      <c r="E4" s="13"/>
      <c r="I4" s="13">
        <v>6</v>
      </c>
      <c r="J4" s="13">
        <v>6</v>
      </c>
      <c r="K4" s="13">
        <v>6</v>
      </c>
      <c r="L4" s="13">
        <v>6</v>
      </c>
      <c r="M4" s="13">
        <v>6</v>
      </c>
      <c r="N4" s="13">
        <v>6</v>
      </c>
      <c r="O4" s="13">
        <v>6</v>
      </c>
      <c r="P4" s="13">
        <v>6</v>
      </c>
      <c r="Q4" s="13">
        <v>6</v>
      </c>
      <c r="R4" s="13">
        <v>6</v>
      </c>
      <c r="S4" s="13">
        <v>6</v>
      </c>
      <c r="T4" s="13">
        <v>6</v>
      </c>
      <c r="U4" s="13">
        <v>6</v>
      </c>
    </row>
    <row r="5" spans="1:7" ht="12" customHeight="1">
      <c r="A5" s="13" t="s">
        <v>70</v>
      </c>
      <c r="B5" s="37" t="s">
        <v>155</v>
      </c>
      <c r="C5" s="35" t="str">
        <f t="shared" si="1"/>
        <v>pm</v>
      </c>
      <c r="D5" s="15" t="s">
        <v>151</v>
      </c>
      <c r="E5" s="39"/>
      <c r="F5" s="13">
        <v>32</v>
      </c>
      <c r="G5" s="13">
        <v>8</v>
      </c>
    </row>
    <row r="6" spans="1:21" ht="12" customHeight="1">
      <c r="A6" s="57" t="s">
        <v>70</v>
      </c>
      <c r="B6" s="43" t="str">
        <f>B5</f>
        <v>pm</v>
      </c>
      <c r="C6" s="45" t="str">
        <f t="shared" si="1"/>
        <v>pmT</v>
      </c>
      <c r="D6" s="47" t="str">
        <f>"TOTAL Avail: "&amp;A6</f>
        <v>TOTAL Avail: KBaltus</v>
      </c>
      <c r="E6" s="49"/>
      <c r="F6" s="51" t="str">
        <f>hrsperweek-SUM(F2:F5)</f>
        <v>0</v>
      </c>
      <c r="G6" s="51" t="str">
        <f>hrsperweek-SUM(G2:G5)</f>
        <v>8</v>
      </c>
      <c r="H6" s="51" t="str">
        <f>hrsperweek-SUM(H2:H5)</f>
        <v>12</v>
      </c>
      <c r="I6" s="51" t="str">
        <f>hrsperweek-SUM(I2:I5)</f>
        <v>6</v>
      </c>
      <c r="J6" s="51" t="str">
        <f>hrsperweek-SUM(J2:J5)</f>
        <v>6</v>
      </c>
      <c r="K6" s="51" t="str">
        <f>hrsperweek-SUM(K2:K5)</f>
        <v>8</v>
      </c>
      <c r="L6" s="51" t="str">
        <f>hrsperweek-SUM(L2:L5)</f>
        <v>8</v>
      </c>
      <c r="M6" s="51" t="str">
        <f>hrsperweek-SUM(M2:M5)</f>
        <v>8</v>
      </c>
      <c r="N6" s="51" t="str">
        <f>hrsperweek-SUM(N2:N5)</f>
        <v>8</v>
      </c>
      <c r="O6" s="51" t="str">
        <f>hrsperweek-SUM(O2:O5)</f>
        <v>8</v>
      </c>
      <c r="P6" s="51" t="str">
        <f>hrsperweek-SUM(P2:P5)</f>
        <v>8</v>
      </c>
      <c r="Q6" s="51" t="str">
        <f>hrsperweek-SUM(Q2:Q5)</f>
        <v>8</v>
      </c>
      <c r="R6" s="51" t="str">
        <f>hrsperweek-SUM(R2:R5)</f>
        <v>8</v>
      </c>
      <c r="S6" s="51" t="str">
        <f>hrsperweek-SUM(S2:S5)</f>
        <v>8</v>
      </c>
      <c r="T6" s="51" t="str">
        <f>hrsperweek-SUM(T2:T5)</f>
        <v>8</v>
      </c>
      <c r="U6" s="51" t="str">
        <f>hrsperweek-SUM(U2:U5)</f>
        <v>8</v>
      </c>
    </row>
    <row r="7" spans="1:21" ht="12" customHeight="1">
      <c r="A7" s="37" t="s">
        <v>202</v>
      </c>
      <c r="B7" s="13" t="s">
        <v>155</v>
      </c>
      <c r="C7" s="35" t="str">
        <f t="shared" si="1"/>
        <v>pm</v>
      </c>
      <c r="D7" s="13" t="s">
        <v>167</v>
      </c>
      <c r="E7" s="13" t="s">
        <v>203</v>
      </c>
      <c r="G7" s="13">
        <v>10</v>
      </c>
      <c r="H7" s="13">
        <v>15</v>
      </c>
      <c r="I7" s="13">
        <v>15</v>
      </c>
      <c r="J7" s="13">
        <v>15</v>
      </c>
      <c r="K7" s="13">
        <v>13</v>
      </c>
      <c r="L7" s="13">
        <v>5</v>
      </c>
      <c r="M7" s="13">
        <v>5</v>
      </c>
      <c r="N7" s="13">
        <v>5</v>
      </c>
      <c r="O7" s="13">
        <v>5</v>
      </c>
      <c r="P7" s="13">
        <v>5</v>
      </c>
      <c r="Q7" s="13">
        <v>5</v>
      </c>
      <c r="R7" s="13">
        <v>5</v>
      </c>
      <c r="S7" s="13">
        <v>5</v>
      </c>
      <c r="T7" s="13">
        <v>5</v>
      </c>
      <c r="U7" s="13">
        <v>5</v>
      </c>
    </row>
    <row r="8" spans="1:21" ht="12" customHeight="1">
      <c r="A8" s="37" t="s">
        <v>202</v>
      </c>
      <c r="B8" s="13" t="s">
        <v>155</v>
      </c>
      <c r="C8" s="35" t="str">
        <f t="shared" si="1"/>
        <v>pm</v>
      </c>
      <c r="D8" s="13" t="s">
        <v>206</v>
      </c>
      <c r="E8" s="13" t="s">
        <v>207</v>
      </c>
      <c r="G8" s="13">
        <v>4</v>
      </c>
      <c r="H8" s="13">
        <v>4</v>
      </c>
      <c r="I8" s="13">
        <v>8</v>
      </c>
      <c r="J8" s="13">
        <v>8</v>
      </c>
      <c r="K8" s="13">
        <v>8</v>
      </c>
      <c r="L8" s="13">
        <v>2</v>
      </c>
      <c r="M8" s="13">
        <v>2</v>
      </c>
      <c r="N8" s="13">
        <v>2</v>
      </c>
      <c r="O8" s="13">
        <v>2</v>
      </c>
      <c r="P8" s="13">
        <v>2</v>
      </c>
      <c r="Q8" s="13">
        <v>2</v>
      </c>
      <c r="R8" s="13">
        <v>2</v>
      </c>
      <c r="S8" s="13">
        <v>2</v>
      </c>
      <c r="T8" s="13">
        <v>2</v>
      </c>
      <c r="U8" s="13">
        <v>2</v>
      </c>
    </row>
    <row r="9" spans="1:21" ht="12" customHeight="1">
      <c r="A9" s="37" t="s">
        <v>202</v>
      </c>
      <c r="B9" s="13" t="s">
        <v>155</v>
      </c>
      <c r="C9" s="35" t="str">
        <f t="shared" si="1"/>
        <v>pm</v>
      </c>
      <c r="D9" s="13" t="s">
        <v>209</v>
      </c>
      <c r="E9" s="13" t="s">
        <v>210</v>
      </c>
      <c r="F9" s="39"/>
      <c r="G9" s="15">
        <v>1</v>
      </c>
      <c r="H9" s="15">
        <v>2</v>
      </c>
      <c r="I9" s="15">
        <v>2</v>
      </c>
      <c r="J9" s="15">
        <v>2</v>
      </c>
      <c r="K9" s="15">
        <v>2</v>
      </c>
      <c r="L9" s="15">
        <v>2</v>
      </c>
      <c r="M9" s="15">
        <v>2</v>
      </c>
      <c r="N9" s="15">
        <v>2</v>
      </c>
      <c r="O9" s="15">
        <v>2</v>
      </c>
      <c r="P9" s="15">
        <v>2</v>
      </c>
      <c r="Q9" s="15">
        <v>2</v>
      </c>
      <c r="R9" s="15">
        <v>2</v>
      </c>
      <c r="S9" s="15">
        <v>2</v>
      </c>
      <c r="T9" s="15">
        <v>2</v>
      </c>
      <c r="U9" s="15">
        <v>2</v>
      </c>
    </row>
    <row r="10" spans="1:21" ht="12" customHeight="1">
      <c r="A10" s="37" t="s">
        <v>202</v>
      </c>
      <c r="B10" s="13" t="s">
        <v>155</v>
      </c>
      <c r="C10" s="35" t="str">
        <f t="shared" si="1"/>
        <v>pm</v>
      </c>
      <c r="D10" s="13" t="s">
        <v>213</v>
      </c>
      <c r="E10" s="13" t="s">
        <v>214</v>
      </c>
      <c r="G10" s="13">
        <v>5</v>
      </c>
      <c r="H10" s="13">
        <v>5</v>
      </c>
      <c r="I10" s="13">
        <v>5</v>
      </c>
      <c r="J10" s="13">
        <v>5</v>
      </c>
      <c r="K10" s="13">
        <v>0</v>
      </c>
      <c r="L10" s="13">
        <v>0</v>
      </c>
      <c r="M10" s="13">
        <v>0</v>
      </c>
      <c r="N10" s="13">
        <v>0</v>
      </c>
      <c r="O10" s="13">
        <v>0</v>
      </c>
      <c r="P10" s="13">
        <v>0</v>
      </c>
      <c r="Q10" s="13">
        <v>0</v>
      </c>
      <c r="R10" s="13">
        <v>0</v>
      </c>
      <c r="S10" s="13">
        <v>0</v>
      </c>
      <c r="T10" s="13">
        <v>0</v>
      </c>
      <c r="U10" s="13">
        <v>0</v>
      </c>
    </row>
    <row r="11" spans="1:21" ht="12" customHeight="1">
      <c r="A11" s="37" t="s">
        <v>202</v>
      </c>
      <c r="B11" s="13" t="s">
        <v>155</v>
      </c>
      <c r="C11" s="35" t="str">
        <f t="shared" si="1"/>
        <v>pm</v>
      </c>
      <c r="D11" s="13" t="s">
        <v>216</v>
      </c>
      <c r="E11" s="13" t="s">
        <v>217</v>
      </c>
      <c r="G11" s="13">
        <v>10</v>
      </c>
      <c r="H11" s="13">
        <v>2</v>
      </c>
      <c r="I11" s="13">
        <v>2</v>
      </c>
      <c r="J11" s="13">
        <v>2</v>
      </c>
      <c r="K11" s="13">
        <v>1</v>
      </c>
      <c r="L11" s="13">
        <v>1</v>
      </c>
      <c r="M11" s="13">
        <v>1</v>
      </c>
      <c r="N11" s="13">
        <v>1</v>
      </c>
      <c r="O11" s="13">
        <v>1</v>
      </c>
      <c r="P11" s="13">
        <v>1</v>
      </c>
      <c r="Q11" s="13">
        <v>1</v>
      </c>
      <c r="R11" s="13">
        <v>1</v>
      </c>
      <c r="S11" s="13">
        <v>1</v>
      </c>
      <c r="T11" s="13">
        <v>1</v>
      </c>
      <c r="U11" s="13">
        <v>1</v>
      </c>
    </row>
    <row r="12" spans="1:21" ht="12" customHeight="1">
      <c r="A12" s="37" t="s">
        <v>202</v>
      </c>
      <c r="B12" s="13" t="s">
        <v>155</v>
      </c>
      <c r="C12" s="35" t="str">
        <f t="shared" si="1"/>
        <v>pm</v>
      </c>
      <c r="D12" s="13" t="s">
        <v>219</v>
      </c>
      <c r="E12" s="13" t="s">
        <v>220</v>
      </c>
      <c r="G12" s="13">
        <v>1</v>
      </c>
      <c r="H12" s="13">
        <v>1</v>
      </c>
      <c r="I12" s="13">
        <v>1</v>
      </c>
      <c r="J12" s="13">
        <v>1</v>
      </c>
      <c r="K12" s="13">
        <v>1</v>
      </c>
      <c r="L12" s="13">
        <v>1</v>
      </c>
      <c r="M12" s="13">
        <v>1</v>
      </c>
      <c r="N12" s="13">
        <v>1</v>
      </c>
      <c r="O12" s="13">
        <v>1</v>
      </c>
      <c r="P12" s="13">
        <v>1</v>
      </c>
      <c r="Q12" s="13">
        <v>1</v>
      </c>
      <c r="R12" s="13">
        <v>1</v>
      </c>
      <c r="S12" s="13">
        <v>1</v>
      </c>
      <c r="T12" s="13">
        <v>1</v>
      </c>
      <c r="U12" s="13">
        <v>1</v>
      </c>
    </row>
    <row r="13" spans="1:21" ht="12" customHeight="1">
      <c r="A13" s="37" t="s">
        <v>202</v>
      </c>
      <c r="B13" s="13" t="s">
        <v>155</v>
      </c>
      <c r="C13" s="35" t="str">
        <f t="shared" si="1"/>
        <v>pm</v>
      </c>
      <c r="D13" s="15" t="s">
        <v>151</v>
      </c>
      <c r="E13" s="39"/>
      <c r="F13" s="13">
        <v>32</v>
      </c>
      <c r="L13" s="13">
        <v>16</v>
      </c>
      <c r="M13" s="13">
        <v>16</v>
      </c>
      <c r="N13" s="13">
        <v>16</v>
      </c>
      <c r="O13" s="13">
        <v>16</v>
      </c>
      <c r="P13" s="13">
        <v>16</v>
      </c>
      <c r="Q13" s="13">
        <v>16</v>
      </c>
      <c r="R13" s="13">
        <v>16</v>
      </c>
      <c r="S13" s="13">
        <v>16</v>
      </c>
      <c r="T13" s="13">
        <v>16</v>
      </c>
      <c r="U13" s="13">
        <v>16</v>
      </c>
    </row>
    <row r="14" spans="1:21" ht="12" customHeight="1">
      <c r="A14" s="70" t="str">
        <f>A12</f>
        <v>KKardashian</v>
      </c>
      <c r="B14" s="45" t="str">
        <f>B13</f>
        <v>pm</v>
      </c>
      <c r="C14" s="45" t="str">
        <f t="shared" si="1"/>
        <v>pmT</v>
      </c>
      <c r="D14" s="47" t="str">
        <f>"TOTAL Avail: "&amp;A14</f>
        <v>TOTAL Avail: KKardashian</v>
      </c>
      <c r="E14" s="49"/>
      <c r="F14" s="51" t="str">
        <f>hrsperweek-SUM(F7:F13)</f>
        <v>0</v>
      </c>
      <c r="G14" s="51" t="str">
        <f>hrsperweek-SUM(G7:G13)</f>
        <v>1</v>
      </c>
      <c r="H14" s="51" t="str">
        <f>hrsperweek-SUM(H7:H13)</f>
        <v>3</v>
      </c>
      <c r="I14" s="51" t="str">
        <f>hrsperweek-SUM(I7:I13)</f>
        <v>-1</v>
      </c>
      <c r="J14" s="51" t="str">
        <f>hrsperweek-SUM(J7:J13)</f>
        <v>-1</v>
      </c>
      <c r="K14" s="51" t="str">
        <f>hrsperweek-SUM(K7:K13)</f>
        <v>7</v>
      </c>
      <c r="L14" s="51" t="str">
        <f>hrsperweek-SUM(L7:L13)</f>
        <v>5</v>
      </c>
      <c r="M14" s="51" t="str">
        <f>hrsperweek-SUM(M7:M13)</f>
        <v>5</v>
      </c>
      <c r="N14" s="51" t="str">
        <f>hrsperweek-SUM(N7:N13)</f>
        <v>5</v>
      </c>
      <c r="O14" s="51" t="str">
        <f>hrsperweek-SUM(O7:O13)</f>
        <v>5</v>
      </c>
      <c r="P14" s="51" t="str">
        <f>hrsperweek-SUM(P7:P13)</f>
        <v>5</v>
      </c>
      <c r="Q14" s="51" t="str">
        <f>hrsperweek-SUM(Q7:Q13)</f>
        <v>5</v>
      </c>
      <c r="R14" s="51" t="str">
        <f>hrsperweek-SUM(R7:R13)</f>
        <v>5</v>
      </c>
      <c r="S14" s="51" t="str">
        <f>hrsperweek-SUM(S7:S13)</f>
        <v>5</v>
      </c>
      <c r="T14" s="51" t="str">
        <f>hrsperweek-SUM(T7:T13)</f>
        <v>5</v>
      </c>
      <c r="U14" s="51" t="str">
        <f>hrsperweek-SUM(U7:U13)</f>
        <v>5</v>
      </c>
    </row>
  </sheetData>
  <autoFilter ref="$A$1:$E$14"/>
  <conditionalFormatting sqref="D6:E6">
    <cfRule type="cellIs" priority="1" dxfId="0" operator="greaterThan">
      <formula>32</formula>
    </cfRule>
  </conditionalFormatting>
  <conditionalFormatting sqref="D14:E14">
    <cfRule type="cellIs" priority="2" dxfId="0" operator="greaterThan">
      <formula>32</formula>
    </cfRule>
  </conditionalFormatting>
  <conditionalFormatting sqref="F6:U6">
    <cfRule type="cellIs" priority="3" dxfId="0" operator="lessThan">
      <formula>0</formula>
    </cfRule>
  </conditionalFormatting>
  <conditionalFormatting sqref="F14:U14">
    <cfRule type="cellIs" priority="4" dxfId="0" operator="lessThan">
      <formula>0</formula>
    </cfRule>
  </conditionalFormatting>
  <conditionalFormatting sqref="F6:U6">
    <cfRule type="cellIs" priority="5" dxfId="1" operator="greaterThan">
      <formula>0</formula>
    </cfRule>
  </conditionalFormatting>
  <conditionalFormatting sqref="F14:U14">
    <cfRule type="cellIs" priority="6" dxfId="1" operator="greaterThan">
      <formula>0</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U21"/>
  <sheetViews>
    <sheetView workbookViewId="0" topLeftCell="A1">
      <pane xSplit="5" ySplit="1" topLeftCell="F2" activePane="bottomRight" state="frozen"/>
      <selection pane="topRight" activeCell="F1" sqref="F1"/>
      <selection pane="bottomLeft" activeCell="A2" sqref="A2"/>
      <selection pane="bottomRight" activeCell="F2" sqref="F2"/>
    </sheetView>
  </sheetViews>
  <sheetFormatPr defaultColWidth="14.421875" defaultRowHeight="12.75" customHeight="1"/>
  <cols>
    <col min="1" max="1" width="14.28125" style="0" customWidth="1"/>
    <col min="2" max="2" width="5.7109375" style="0" customWidth="1"/>
    <col min="3" max="3" width="24.28125" style="0" hidden="1" customWidth="1"/>
    <col min="4" max="4" width="29.00390625" style="0" customWidth="1"/>
    <col min="5" max="5" width="26.7109375" style="0" customWidth="1"/>
    <col min="6" max="7" width="5.57421875" style="0" customWidth="1"/>
    <col min="8" max="9" width="4.140625" style="0" customWidth="1"/>
    <col min="10" max="21" width="5.57421875" style="0" customWidth="1"/>
  </cols>
  <sheetData>
    <row r="1" spans="1:21" ht="12" customHeight="1">
      <c r="A1" s="17" t="s">
        <v>4</v>
      </c>
      <c r="B1" s="17" t="s">
        <v>10</v>
      </c>
      <c r="C1" s="17" t="s">
        <v>11</v>
      </c>
      <c r="D1" s="17" t="s">
        <v>18</v>
      </c>
      <c r="E1" s="27" t="s">
        <v>97</v>
      </c>
      <c r="F1" s="28">
        <v>42274</v>
      </c>
      <c r="G1" s="31" t="str">
        <f aca="true" t="shared" si="0" ref="G1:U1">F1+7</f>
        <v>10/4</v>
      </c>
      <c r="H1" s="31" t="str">
        <f t="shared" si="0"/>
        <v>10/11</v>
      </c>
      <c r="I1" s="31" t="str">
        <f t="shared" si="0"/>
        <v>10/18</v>
      </c>
      <c r="J1" s="31" t="str">
        <f t="shared" si="0"/>
        <v>10/25</v>
      </c>
      <c r="K1" s="31" t="str">
        <f t="shared" si="0"/>
        <v>11/1</v>
      </c>
      <c r="L1" s="31" t="str">
        <f t="shared" si="0"/>
        <v>11/8</v>
      </c>
      <c r="M1" s="31" t="str">
        <f t="shared" si="0"/>
        <v>11/15</v>
      </c>
      <c r="N1" s="31" t="str">
        <f t="shared" si="0"/>
        <v>11/22</v>
      </c>
      <c r="O1" s="31" t="str">
        <f t="shared" si="0"/>
        <v>11/29</v>
      </c>
      <c r="P1" s="31" t="str">
        <f t="shared" si="0"/>
        <v>12/6</v>
      </c>
      <c r="Q1" s="31" t="str">
        <f t="shared" si="0"/>
        <v>12/13</v>
      </c>
      <c r="R1" s="31" t="str">
        <f t="shared" si="0"/>
        <v>12/20</v>
      </c>
      <c r="S1" s="31" t="str">
        <f t="shared" si="0"/>
        <v>12/27</v>
      </c>
      <c r="T1" s="31" t="str">
        <f t="shared" si="0"/>
        <v>1/3</v>
      </c>
      <c r="U1" s="31" t="str">
        <f t="shared" si="0"/>
        <v>1/10</v>
      </c>
    </row>
    <row r="2" spans="1:21" ht="12" customHeight="1">
      <c r="A2" s="37" t="s">
        <v>204</v>
      </c>
      <c r="B2" s="37" t="s">
        <v>205</v>
      </c>
      <c r="C2" s="35" t="str">
        <f aca="true" t="shared" si="1" ref="C2:C21">B2&amp;IF(LEFT(D2,5)="TOTAL","T","")</f>
        <v>copy</v>
      </c>
      <c r="D2" s="33" t="s">
        <v>211</v>
      </c>
      <c r="E2" s="33" t="s">
        <v>212</v>
      </c>
      <c r="F2" t="str">
        <f aca="true" t="shared" si="2" ref="F2:G2">RANDBETWEEN(0,10)</f>
        <v>1</v>
      </c>
      <c r="G2" t="str">
        <f t="shared" si="2"/>
        <v>7</v>
      </c>
      <c r="H2" t="str">
        <f aca="true" t="shared" si="3" ref="H2:U2">RANDBETWEEN(2,8)</f>
        <v>5</v>
      </c>
      <c r="I2" t="str">
        <f t="shared" si="3"/>
        <v>2</v>
      </c>
      <c r="J2" t="str">
        <f t="shared" si="3"/>
        <v>6</v>
      </c>
      <c r="K2" t="str">
        <f t="shared" si="3"/>
        <v>6</v>
      </c>
      <c r="L2" t="str">
        <f t="shared" si="3"/>
        <v>7</v>
      </c>
      <c r="M2" t="str">
        <f t="shared" si="3"/>
        <v>3</v>
      </c>
      <c r="N2" t="str">
        <f t="shared" si="3"/>
        <v>5</v>
      </c>
      <c r="O2" t="str">
        <f t="shared" si="3"/>
        <v>6</v>
      </c>
      <c r="P2" t="str">
        <f t="shared" si="3"/>
        <v>5</v>
      </c>
      <c r="Q2" t="str">
        <f t="shared" si="3"/>
        <v>2</v>
      </c>
      <c r="R2" t="str">
        <f t="shared" si="3"/>
        <v>7</v>
      </c>
      <c r="S2" t="str">
        <f t="shared" si="3"/>
        <v>2</v>
      </c>
      <c r="T2" t="str">
        <f t="shared" si="3"/>
        <v>4</v>
      </c>
      <c r="U2" t="str">
        <f t="shared" si="3"/>
        <v>4</v>
      </c>
    </row>
    <row r="3" spans="1:21" ht="12" customHeight="1">
      <c r="A3" s="37" t="s">
        <v>204</v>
      </c>
      <c r="B3" s="37" t="s">
        <v>205</v>
      </c>
      <c r="C3" s="35" t="str">
        <f t="shared" si="1"/>
        <v>copy</v>
      </c>
      <c r="D3" s="37" t="s">
        <v>222</v>
      </c>
      <c r="E3" s="13"/>
      <c r="F3" t="str">
        <f aca="true" t="shared" si="4" ref="F3:F6">RANDBETWEEN(0,10)</f>
        <v>9</v>
      </c>
      <c r="G3" t="str">
        <f aca="true" t="shared" si="5" ref="G3:U3">RANDBETWEEN(2,8)</f>
        <v>4</v>
      </c>
      <c r="H3" t="str">
        <f t="shared" si="5"/>
        <v>4</v>
      </c>
      <c r="I3" t="str">
        <f t="shared" si="5"/>
        <v>5</v>
      </c>
      <c r="J3" t="str">
        <f t="shared" si="5"/>
        <v>6</v>
      </c>
      <c r="K3" t="str">
        <f t="shared" si="5"/>
        <v>5</v>
      </c>
      <c r="L3" t="str">
        <f t="shared" si="5"/>
        <v>4</v>
      </c>
      <c r="M3" t="str">
        <f t="shared" si="5"/>
        <v>4</v>
      </c>
      <c r="N3" t="str">
        <f t="shared" si="5"/>
        <v>5</v>
      </c>
      <c r="O3" t="str">
        <f t="shared" si="5"/>
        <v>8</v>
      </c>
      <c r="P3" t="str">
        <f t="shared" si="5"/>
        <v>7</v>
      </c>
      <c r="Q3" t="str">
        <f t="shared" si="5"/>
        <v>2</v>
      </c>
      <c r="R3" t="str">
        <f t="shared" si="5"/>
        <v>8</v>
      </c>
      <c r="S3" t="str">
        <f t="shared" si="5"/>
        <v>2</v>
      </c>
      <c r="T3" t="str">
        <f t="shared" si="5"/>
        <v>5</v>
      </c>
      <c r="U3" t="str">
        <f t="shared" si="5"/>
        <v>6</v>
      </c>
    </row>
    <row r="4" spans="1:21" ht="12" customHeight="1">
      <c r="A4" s="37" t="s">
        <v>204</v>
      </c>
      <c r="B4" s="37" t="s">
        <v>205</v>
      </c>
      <c r="C4" s="35" t="str">
        <f t="shared" si="1"/>
        <v>copy</v>
      </c>
      <c r="D4" s="37" t="s">
        <v>225</v>
      </c>
      <c r="E4" s="13"/>
      <c r="F4" t="str">
        <f t="shared" si="4"/>
        <v>7</v>
      </c>
      <c r="G4" t="str">
        <f aca="true" t="shared" si="6" ref="G4:U4">RANDBETWEEN(2,8)</f>
        <v>7</v>
      </c>
      <c r="H4" t="str">
        <f t="shared" si="6"/>
        <v>4</v>
      </c>
      <c r="I4" t="str">
        <f t="shared" si="6"/>
        <v>8</v>
      </c>
      <c r="J4" t="str">
        <f t="shared" si="6"/>
        <v>5</v>
      </c>
      <c r="K4" t="str">
        <f t="shared" si="6"/>
        <v>5</v>
      </c>
      <c r="L4" t="str">
        <f t="shared" si="6"/>
        <v>8</v>
      </c>
      <c r="M4" t="str">
        <f t="shared" si="6"/>
        <v>6</v>
      </c>
      <c r="N4" t="str">
        <f t="shared" si="6"/>
        <v>2</v>
      </c>
      <c r="O4" t="str">
        <f t="shared" si="6"/>
        <v>7</v>
      </c>
      <c r="P4" t="str">
        <f t="shared" si="6"/>
        <v>8</v>
      </c>
      <c r="Q4" t="str">
        <f t="shared" si="6"/>
        <v>8</v>
      </c>
      <c r="R4" t="str">
        <f t="shared" si="6"/>
        <v>7</v>
      </c>
      <c r="S4" t="str">
        <f t="shared" si="6"/>
        <v>5</v>
      </c>
      <c r="T4" t="str">
        <f t="shared" si="6"/>
        <v>6</v>
      </c>
      <c r="U4" t="str">
        <f t="shared" si="6"/>
        <v>7</v>
      </c>
    </row>
    <row r="5" spans="1:21" ht="12" customHeight="1">
      <c r="A5" s="37" t="s">
        <v>204</v>
      </c>
      <c r="B5" s="37" t="s">
        <v>205</v>
      </c>
      <c r="C5" s="35" t="str">
        <f t="shared" si="1"/>
        <v>copy</v>
      </c>
      <c r="D5" s="13" t="s">
        <v>230</v>
      </c>
      <c r="F5" t="str">
        <f t="shared" si="4"/>
        <v>6</v>
      </c>
      <c r="G5" t="str">
        <f aca="true" t="shared" si="7" ref="G5:U5">RANDBETWEEN(2,8)</f>
        <v>6</v>
      </c>
      <c r="H5" t="str">
        <f t="shared" si="7"/>
        <v>4</v>
      </c>
      <c r="I5" t="str">
        <f t="shared" si="7"/>
        <v>3</v>
      </c>
      <c r="J5" t="str">
        <f t="shared" si="7"/>
        <v>5</v>
      </c>
      <c r="K5" t="str">
        <f t="shared" si="7"/>
        <v>3</v>
      </c>
      <c r="L5" t="str">
        <f t="shared" si="7"/>
        <v>3</v>
      </c>
      <c r="M5" t="str">
        <f t="shared" si="7"/>
        <v>4</v>
      </c>
      <c r="N5" t="str">
        <f t="shared" si="7"/>
        <v>8</v>
      </c>
      <c r="O5" t="str">
        <f t="shared" si="7"/>
        <v>4</v>
      </c>
      <c r="P5" t="str">
        <f t="shared" si="7"/>
        <v>4</v>
      </c>
      <c r="Q5" t="str">
        <f t="shared" si="7"/>
        <v>4</v>
      </c>
      <c r="R5" t="str">
        <f t="shared" si="7"/>
        <v>7</v>
      </c>
      <c r="S5" t="str">
        <f t="shared" si="7"/>
        <v>3</v>
      </c>
      <c r="T5" t="str">
        <f t="shared" si="7"/>
        <v>7</v>
      </c>
      <c r="U5" t="str">
        <f t="shared" si="7"/>
        <v>5</v>
      </c>
    </row>
    <row r="6" spans="1:21" ht="12" customHeight="1">
      <c r="A6" s="37" t="s">
        <v>204</v>
      </c>
      <c r="B6" s="37" t="s">
        <v>205</v>
      </c>
      <c r="C6" s="35" t="str">
        <f t="shared" si="1"/>
        <v>copy</v>
      </c>
      <c r="D6" s="13" t="s">
        <v>151</v>
      </c>
      <c r="F6" t="str">
        <f t="shared" si="4"/>
        <v>2</v>
      </c>
      <c r="G6" t="str">
        <f aca="true" t="shared" si="8" ref="G6:U6">RANDBETWEEN(2,8)</f>
        <v>2</v>
      </c>
      <c r="H6" t="str">
        <f t="shared" si="8"/>
        <v>6</v>
      </c>
      <c r="I6" t="str">
        <f t="shared" si="8"/>
        <v>2</v>
      </c>
      <c r="J6" t="str">
        <f t="shared" si="8"/>
        <v>2</v>
      </c>
      <c r="K6" t="str">
        <f t="shared" si="8"/>
        <v>6</v>
      </c>
      <c r="L6" t="str">
        <f t="shared" si="8"/>
        <v>2</v>
      </c>
      <c r="M6" t="str">
        <f t="shared" si="8"/>
        <v>7</v>
      </c>
      <c r="N6" t="str">
        <f t="shared" si="8"/>
        <v>2</v>
      </c>
      <c r="O6" t="str">
        <f t="shared" si="8"/>
        <v>4</v>
      </c>
      <c r="P6" t="str">
        <f t="shared" si="8"/>
        <v>4</v>
      </c>
      <c r="Q6" t="str">
        <f t="shared" si="8"/>
        <v>2</v>
      </c>
      <c r="R6" t="str">
        <f t="shared" si="8"/>
        <v>3</v>
      </c>
      <c r="S6" t="str">
        <f t="shared" si="8"/>
        <v>8</v>
      </c>
      <c r="T6" t="str">
        <f t="shared" si="8"/>
        <v>2</v>
      </c>
      <c r="U6" t="str">
        <f t="shared" si="8"/>
        <v>6</v>
      </c>
    </row>
    <row r="7" spans="1:21" ht="12" customHeight="1">
      <c r="A7" s="70" t="str">
        <f aca="true" t="shared" si="9" ref="A7:B7">A6</f>
        <v>MJackson</v>
      </c>
      <c r="B7" s="43" t="str">
        <f t="shared" si="9"/>
        <v>copy</v>
      </c>
      <c r="C7" s="45" t="str">
        <f t="shared" si="1"/>
        <v>copyT</v>
      </c>
      <c r="D7" s="47" t="str">
        <f>"TOTAL Avail: "&amp;A7</f>
        <v>TOTAL Avail: MJackson</v>
      </c>
      <c r="E7" s="49"/>
      <c r="F7" s="51" t="str">
        <f aca="true" t="shared" si="10" ref="F7:U7">32-SUM(F2:F6)</f>
        <v>7</v>
      </c>
      <c r="G7" s="51" t="str">
        <f t="shared" si="10"/>
        <v>6</v>
      </c>
      <c r="H7" s="51" t="str">
        <f t="shared" si="10"/>
        <v>9</v>
      </c>
      <c r="I7" s="51" t="str">
        <f t="shared" si="10"/>
        <v>12</v>
      </c>
      <c r="J7" s="51" t="str">
        <f t="shared" si="10"/>
        <v>8</v>
      </c>
      <c r="K7" s="51" t="str">
        <f t="shared" si="10"/>
        <v>7</v>
      </c>
      <c r="L7" s="51" t="str">
        <f t="shared" si="10"/>
        <v>8</v>
      </c>
      <c r="M7" s="51" t="str">
        <f t="shared" si="10"/>
        <v>8</v>
      </c>
      <c r="N7" s="51" t="str">
        <f t="shared" si="10"/>
        <v>10</v>
      </c>
      <c r="O7" s="51" t="str">
        <f t="shared" si="10"/>
        <v>3</v>
      </c>
      <c r="P7" s="51" t="str">
        <f t="shared" si="10"/>
        <v>4</v>
      </c>
      <c r="Q7" s="51" t="str">
        <f t="shared" si="10"/>
        <v>14</v>
      </c>
      <c r="R7" s="51" t="str">
        <f t="shared" si="10"/>
        <v>0</v>
      </c>
      <c r="S7" s="51" t="str">
        <f t="shared" si="10"/>
        <v>12</v>
      </c>
      <c r="T7" s="51" t="str">
        <f t="shared" si="10"/>
        <v>8</v>
      </c>
      <c r="U7" s="51" t="str">
        <f t="shared" si="10"/>
        <v>4</v>
      </c>
    </row>
    <row r="8" spans="1:21" ht="12" customHeight="1">
      <c r="A8" s="37" t="s">
        <v>236</v>
      </c>
      <c r="B8" s="37" t="s">
        <v>237</v>
      </c>
      <c r="C8" s="35" t="str">
        <f t="shared" si="1"/>
        <v>des</v>
      </c>
      <c r="D8" s="33" t="s">
        <v>211</v>
      </c>
      <c r="F8" t="str">
        <f aca="true" t="shared" si="11" ref="F8:U8">RANDBETWEEN(0,10)</f>
        <v>1</v>
      </c>
      <c r="G8" t="str">
        <f t="shared" si="11"/>
        <v>5</v>
      </c>
      <c r="H8" t="str">
        <f t="shared" si="11"/>
        <v>10</v>
      </c>
      <c r="I8" t="str">
        <f t="shared" si="11"/>
        <v>5</v>
      </c>
      <c r="J8" t="str">
        <f t="shared" si="11"/>
        <v>2</v>
      </c>
      <c r="K8" t="str">
        <f t="shared" si="11"/>
        <v>0</v>
      </c>
      <c r="L8" t="str">
        <f t="shared" si="11"/>
        <v>4</v>
      </c>
      <c r="M8" t="str">
        <f t="shared" si="11"/>
        <v>7</v>
      </c>
      <c r="N8" t="str">
        <f t="shared" si="11"/>
        <v>10</v>
      </c>
      <c r="O8" t="str">
        <f t="shared" si="11"/>
        <v>6</v>
      </c>
      <c r="P8" t="str">
        <f t="shared" si="11"/>
        <v>2</v>
      </c>
      <c r="Q8" t="str">
        <f t="shared" si="11"/>
        <v>8</v>
      </c>
      <c r="R8" t="str">
        <f t="shared" si="11"/>
        <v>3</v>
      </c>
      <c r="S8" t="str">
        <f t="shared" si="11"/>
        <v>5</v>
      </c>
      <c r="T8" t="str">
        <f t="shared" si="11"/>
        <v>2</v>
      </c>
      <c r="U8" t="str">
        <f t="shared" si="11"/>
        <v>7</v>
      </c>
    </row>
    <row r="9" spans="1:21" ht="12" customHeight="1">
      <c r="A9" s="37" t="s">
        <v>236</v>
      </c>
      <c r="B9" s="37" t="s">
        <v>237</v>
      </c>
      <c r="C9" s="35" t="str">
        <f t="shared" si="1"/>
        <v>des</v>
      </c>
      <c r="D9" s="37" t="s">
        <v>222</v>
      </c>
      <c r="F9" t="str">
        <f aca="true" t="shared" si="12" ref="F9:U9">RANDBETWEEN(0,10)</f>
        <v>10</v>
      </c>
      <c r="G9" t="str">
        <f t="shared" si="12"/>
        <v>5</v>
      </c>
      <c r="H9" t="str">
        <f t="shared" si="12"/>
        <v>2</v>
      </c>
      <c r="I9" t="str">
        <f t="shared" si="12"/>
        <v>9</v>
      </c>
      <c r="J9" t="str">
        <f t="shared" si="12"/>
        <v>8</v>
      </c>
      <c r="K9" t="str">
        <f t="shared" si="12"/>
        <v>10</v>
      </c>
      <c r="L9" t="str">
        <f t="shared" si="12"/>
        <v>10</v>
      </c>
      <c r="M9" t="str">
        <f t="shared" si="12"/>
        <v>5</v>
      </c>
      <c r="N9" t="str">
        <f t="shared" si="12"/>
        <v>5</v>
      </c>
      <c r="O9" t="str">
        <f t="shared" si="12"/>
        <v>3</v>
      </c>
      <c r="P9" t="str">
        <f t="shared" si="12"/>
        <v>4</v>
      </c>
      <c r="Q9" t="str">
        <f t="shared" si="12"/>
        <v>2</v>
      </c>
      <c r="R9" t="str">
        <f t="shared" si="12"/>
        <v>8</v>
      </c>
      <c r="S9" t="str">
        <f t="shared" si="12"/>
        <v>10</v>
      </c>
      <c r="T9" t="str">
        <f t="shared" si="12"/>
        <v>4</v>
      </c>
      <c r="U9" t="str">
        <f t="shared" si="12"/>
        <v>6</v>
      </c>
    </row>
    <row r="10" spans="1:21" ht="12" customHeight="1">
      <c r="A10" s="37" t="s">
        <v>236</v>
      </c>
      <c r="B10" s="37" t="s">
        <v>237</v>
      </c>
      <c r="C10" s="35" t="str">
        <f t="shared" si="1"/>
        <v>des</v>
      </c>
      <c r="D10" s="37" t="s">
        <v>225</v>
      </c>
      <c r="F10" t="str">
        <f aca="true" t="shared" si="13" ref="F10:U10">RANDBETWEEN(0,10)</f>
        <v>0</v>
      </c>
      <c r="G10" t="str">
        <f t="shared" si="13"/>
        <v>0</v>
      </c>
      <c r="H10" t="str">
        <f t="shared" si="13"/>
        <v>10</v>
      </c>
      <c r="I10" t="str">
        <f t="shared" si="13"/>
        <v>6</v>
      </c>
      <c r="J10" t="str">
        <f t="shared" si="13"/>
        <v>2</v>
      </c>
      <c r="K10" t="str">
        <f t="shared" si="13"/>
        <v>6</v>
      </c>
      <c r="L10" t="str">
        <f t="shared" si="13"/>
        <v>9</v>
      </c>
      <c r="M10" t="str">
        <f t="shared" si="13"/>
        <v>8</v>
      </c>
      <c r="N10" t="str">
        <f t="shared" si="13"/>
        <v>9</v>
      </c>
      <c r="O10" t="str">
        <f t="shared" si="13"/>
        <v>9</v>
      </c>
      <c r="P10" t="str">
        <f t="shared" si="13"/>
        <v>0</v>
      </c>
      <c r="Q10" t="str">
        <f t="shared" si="13"/>
        <v>8</v>
      </c>
      <c r="R10" t="str">
        <f t="shared" si="13"/>
        <v>5</v>
      </c>
      <c r="S10" t="str">
        <f t="shared" si="13"/>
        <v>0</v>
      </c>
      <c r="T10" t="str">
        <f t="shared" si="13"/>
        <v>6</v>
      </c>
      <c r="U10" t="str">
        <f t="shared" si="13"/>
        <v>6</v>
      </c>
    </row>
    <row r="11" spans="1:21" ht="12" customHeight="1">
      <c r="A11" s="37" t="s">
        <v>236</v>
      </c>
      <c r="B11" s="37" t="s">
        <v>237</v>
      </c>
      <c r="C11" s="35" t="str">
        <f t="shared" si="1"/>
        <v>des</v>
      </c>
      <c r="D11" s="15" t="s">
        <v>151</v>
      </c>
      <c r="E11" s="39"/>
      <c r="F11" t="str">
        <f aca="true" t="shared" si="14" ref="F11:U11">RANDBETWEEN(0,10)</f>
        <v>7</v>
      </c>
      <c r="G11" t="str">
        <f t="shared" si="14"/>
        <v>7</v>
      </c>
      <c r="H11" t="str">
        <f t="shared" si="14"/>
        <v>9</v>
      </c>
      <c r="I11" t="str">
        <f t="shared" si="14"/>
        <v>9</v>
      </c>
      <c r="J11" t="str">
        <f t="shared" si="14"/>
        <v>4</v>
      </c>
      <c r="K11" t="str">
        <f t="shared" si="14"/>
        <v>2</v>
      </c>
      <c r="L11" t="str">
        <f t="shared" si="14"/>
        <v>5</v>
      </c>
      <c r="M11" t="str">
        <f t="shared" si="14"/>
        <v>0</v>
      </c>
      <c r="N11" t="str">
        <f t="shared" si="14"/>
        <v>3</v>
      </c>
      <c r="O11" t="str">
        <f t="shared" si="14"/>
        <v>2</v>
      </c>
      <c r="P11" t="str">
        <f t="shared" si="14"/>
        <v>8</v>
      </c>
      <c r="Q11" t="str">
        <f t="shared" si="14"/>
        <v>10</v>
      </c>
      <c r="R11" t="str">
        <f t="shared" si="14"/>
        <v>6</v>
      </c>
      <c r="S11" t="str">
        <f t="shared" si="14"/>
        <v>8</v>
      </c>
      <c r="T11" t="str">
        <f t="shared" si="14"/>
        <v>4</v>
      </c>
      <c r="U11" t="str">
        <f t="shared" si="14"/>
        <v>5</v>
      </c>
    </row>
    <row r="12" spans="1:21" ht="12" customHeight="1">
      <c r="A12" s="37" t="s">
        <v>236</v>
      </c>
      <c r="B12" s="37" t="s">
        <v>237</v>
      </c>
      <c r="C12" s="35" t="str">
        <f t="shared" si="1"/>
        <v>des</v>
      </c>
      <c r="D12" s="15" t="s">
        <v>230</v>
      </c>
      <c r="E12" s="39"/>
      <c r="F12" t="str">
        <f aca="true" t="shared" si="15" ref="F12:U12">RANDBETWEEN(0,10)</f>
        <v>0</v>
      </c>
      <c r="G12" t="str">
        <f t="shared" si="15"/>
        <v>5</v>
      </c>
      <c r="H12" t="str">
        <f t="shared" si="15"/>
        <v>3</v>
      </c>
      <c r="I12" t="str">
        <f t="shared" si="15"/>
        <v>5</v>
      </c>
      <c r="J12" t="str">
        <f t="shared" si="15"/>
        <v>0</v>
      </c>
      <c r="K12" t="str">
        <f t="shared" si="15"/>
        <v>3</v>
      </c>
      <c r="L12" t="str">
        <f t="shared" si="15"/>
        <v>4</v>
      </c>
      <c r="M12" t="str">
        <f t="shared" si="15"/>
        <v>9</v>
      </c>
      <c r="N12" t="str">
        <f t="shared" si="15"/>
        <v>10</v>
      </c>
      <c r="O12" t="str">
        <f t="shared" si="15"/>
        <v>4</v>
      </c>
      <c r="P12" t="str">
        <f t="shared" si="15"/>
        <v>10</v>
      </c>
      <c r="Q12" t="str">
        <f t="shared" si="15"/>
        <v>1</v>
      </c>
      <c r="R12" t="str">
        <f t="shared" si="15"/>
        <v>1</v>
      </c>
      <c r="S12" t="str">
        <f t="shared" si="15"/>
        <v>9</v>
      </c>
      <c r="T12" t="str">
        <f t="shared" si="15"/>
        <v>4</v>
      </c>
      <c r="U12" t="str">
        <f t="shared" si="15"/>
        <v>2</v>
      </c>
    </row>
    <row r="13" spans="1:21" ht="12" customHeight="1">
      <c r="A13" s="70" t="str">
        <f>A10</f>
        <v>JJackson</v>
      </c>
      <c r="B13" s="43" t="str">
        <f>B12</f>
        <v>des</v>
      </c>
      <c r="C13" s="45" t="str">
        <f t="shared" si="1"/>
        <v>desT</v>
      </c>
      <c r="D13" s="47" t="str">
        <f>"TOTAL Avail: "&amp;A13</f>
        <v>TOTAL Avail: JJackson</v>
      </c>
      <c r="E13" s="49"/>
      <c r="F13" s="51" t="str">
        <f>hrsperweek-SUM(F8:F12)</f>
        <v>14</v>
      </c>
      <c r="G13" s="51" t="str">
        <f>hrsperweek-SUM(G8:G12)</f>
        <v>10</v>
      </c>
      <c r="H13" s="51" t="str">
        <f>hrsperweek-SUM(H8:H12)</f>
        <v>-2</v>
      </c>
      <c r="I13" s="51" t="str">
        <f>hrsperweek-SUM(I8:I12)</f>
        <v>-2</v>
      </c>
      <c r="J13" s="51" t="str">
        <f>hrsperweek-SUM(J8:J12)</f>
        <v>16</v>
      </c>
      <c r="K13" s="51" t="str">
        <f>hrsperweek-SUM(K8:K12)</f>
        <v>11</v>
      </c>
      <c r="L13" s="51" t="str">
        <f>hrsperweek-SUM(L8:L12)</f>
        <v>0</v>
      </c>
      <c r="M13" s="51" t="str">
        <f>hrsperweek-SUM(M8:M12)</f>
        <v>3</v>
      </c>
      <c r="N13" s="51" t="str">
        <f>hrsperweek-SUM(N8:N12)</f>
        <v>-5</v>
      </c>
      <c r="O13" s="51" t="str">
        <f>hrsperweek-SUM(O8:O12)</f>
        <v>8</v>
      </c>
      <c r="P13" s="51" t="str">
        <f>hrsperweek-SUM(P8:P12)</f>
        <v>8</v>
      </c>
      <c r="Q13" s="51" t="str">
        <f>hrsperweek-SUM(Q8:Q12)</f>
        <v>3</v>
      </c>
      <c r="R13" s="51" t="str">
        <f>hrsperweek-SUM(R8:R12)</f>
        <v>9</v>
      </c>
      <c r="S13" s="51" t="str">
        <f>hrsperweek-SUM(S8:S12)</f>
        <v>0</v>
      </c>
      <c r="T13" s="51" t="str">
        <f>hrsperweek-SUM(T8:T12)</f>
        <v>12</v>
      </c>
      <c r="U13" s="51" t="str">
        <f>hrsperweek-SUM(U8:U12)</f>
        <v>6</v>
      </c>
    </row>
    <row r="14" spans="1:21" ht="12" customHeight="1">
      <c r="A14" s="37" t="s">
        <v>253</v>
      </c>
      <c r="B14" s="13" t="s">
        <v>256</v>
      </c>
      <c r="C14" s="35" t="str">
        <f t="shared" si="1"/>
        <v>ux</v>
      </c>
      <c r="D14" s="13" t="s">
        <v>258</v>
      </c>
      <c r="E14" s="13" t="s">
        <v>259</v>
      </c>
      <c r="F14" t="str">
        <f aca="true" t="shared" si="16" ref="F14:U14">RANDBETWEEN(0,10)</f>
        <v>9</v>
      </c>
      <c r="G14" t="str">
        <f t="shared" si="16"/>
        <v>9</v>
      </c>
      <c r="H14" t="str">
        <f t="shared" si="16"/>
        <v>10</v>
      </c>
      <c r="I14" t="str">
        <f t="shared" si="16"/>
        <v>1</v>
      </c>
      <c r="J14" t="str">
        <f t="shared" si="16"/>
        <v>9</v>
      </c>
      <c r="K14" t="str">
        <f t="shared" si="16"/>
        <v>2</v>
      </c>
      <c r="L14" t="str">
        <f t="shared" si="16"/>
        <v>7</v>
      </c>
      <c r="M14" t="str">
        <f t="shared" si="16"/>
        <v>10</v>
      </c>
      <c r="N14" t="str">
        <f t="shared" si="16"/>
        <v>1</v>
      </c>
      <c r="O14" t="str">
        <f t="shared" si="16"/>
        <v>3</v>
      </c>
      <c r="P14" t="str">
        <f t="shared" si="16"/>
        <v>3</v>
      </c>
      <c r="Q14" t="str">
        <f t="shared" si="16"/>
        <v>2</v>
      </c>
      <c r="R14" t="str">
        <f t="shared" si="16"/>
        <v>1</v>
      </c>
      <c r="S14" t="str">
        <f t="shared" si="16"/>
        <v>0</v>
      </c>
      <c r="T14" t="str">
        <f t="shared" si="16"/>
        <v>9</v>
      </c>
      <c r="U14" t="str">
        <f t="shared" si="16"/>
        <v>0</v>
      </c>
    </row>
    <row r="15" spans="1:21" ht="12" customHeight="1">
      <c r="A15" s="37" t="s">
        <v>253</v>
      </c>
      <c r="B15" s="13" t="s">
        <v>256</v>
      </c>
      <c r="C15" s="35" t="str">
        <f t="shared" si="1"/>
        <v>ux</v>
      </c>
      <c r="D15" s="13" t="s">
        <v>269</v>
      </c>
      <c r="E15" s="13" t="s">
        <v>259</v>
      </c>
      <c r="F15" t="str">
        <f aca="true" t="shared" si="17" ref="F15:U15">RANDBETWEEN(0,10)</f>
        <v>9</v>
      </c>
      <c r="G15" t="str">
        <f t="shared" si="17"/>
        <v>4</v>
      </c>
      <c r="H15" t="str">
        <f t="shared" si="17"/>
        <v>0</v>
      </c>
      <c r="I15" t="str">
        <f t="shared" si="17"/>
        <v>8</v>
      </c>
      <c r="J15" t="str">
        <f t="shared" si="17"/>
        <v>1</v>
      </c>
      <c r="K15" t="str">
        <f t="shared" si="17"/>
        <v>7</v>
      </c>
      <c r="L15" t="str">
        <f t="shared" si="17"/>
        <v>9</v>
      </c>
      <c r="M15" t="str">
        <f t="shared" si="17"/>
        <v>3</v>
      </c>
      <c r="N15" t="str">
        <f t="shared" si="17"/>
        <v>0</v>
      </c>
      <c r="O15" t="str">
        <f t="shared" si="17"/>
        <v>6</v>
      </c>
      <c r="P15" t="str">
        <f t="shared" si="17"/>
        <v>0</v>
      </c>
      <c r="Q15" t="str">
        <f t="shared" si="17"/>
        <v>1</v>
      </c>
      <c r="R15" t="str">
        <f t="shared" si="17"/>
        <v>4</v>
      </c>
      <c r="S15" t="str">
        <f t="shared" si="17"/>
        <v>1</v>
      </c>
      <c r="T15" t="str">
        <f t="shared" si="17"/>
        <v>8</v>
      </c>
      <c r="U15" t="str">
        <f t="shared" si="17"/>
        <v>5</v>
      </c>
    </row>
    <row r="16" spans="1:21" ht="15.75" customHeight="1">
      <c r="A16" s="37" t="s">
        <v>253</v>
      </c>
      <c r="B16" s="13" t="s">
        <v>256</v>
      </c>
      <c r="C16" s="35" t="str">
        <f t="shared" si="1"/>
        <v>ux</v>
      </c>
      <c r="D16" s="13" t="s">
        <v>276</v>
      </c>
      <c r="E16" s="13" t="s">
        <v>259</v>
      </c>
      <c r="F16" t="str">
        <f aca="true" t="shared" si="18" ref="F16:U16">RANDBETWEEN(0,10)</f>
        <v>0</v>
      </c>
      <c r="G16" t="str">
        <f t="shared" si="18"/>
        <v>2</v>
      </c>
      <c r="H16" t="str">
        <f t="shared" si="18"/>
        <v>0</v>
      </c>
      <c r="I16" t="str">
        <f t="shared" si="18"/>
        <v>3</v>
      </c>
      <c r="J16" t="str">
        <f t="shared" si="18"/>
        <v>9</v>
      </c>
      <c r="K16" t="str">
        <f t="shared" si="18"/>
        <v>7</v>
      </c>
      <c r="L16" t="str">
        <f t="shared" si="18"/>
        <v>4</v>
      </c>
      <c r="M16" t="str">
        <f t="shared" si="18"/>
        <v>2</v>
      </c>
      <c r="N16" t="str">
        <f t="shared" si="18"/>
        <v>10</v>
      </c>
      <c r="O16" t="str">
        <f t="shared" si="18"/>
        <v>3</v>
      </c>
      <c r="P16" t="str">
        <f t="shared" si="18"/>
        <v>8</v>
      </c>
      <c r="Q16" t="str">
        <f t="shared" si="18"/>
        <v>5</v>
      </c>
      <c r="R16" t="str">
        <f t="shared" si="18"/>
        <v>4</v>
      </c>
      <c r="S16" t="str">
        <f t="shared" si="18"/>
        <v>1</v>
      </c>
      <c r="T16" t="str">
        <f t="shared" si="18"/>
        <v>7</v>
      </c>
      <c r="U16" t="str">
        <f t="shared" si="18"/>
        <v>8</v>
      </c>
    </row>
    <row r="17" spans="1:21" ht="12" customHeight="1">
      <c r="A17" s="37" t="s">
        <v>253</v>
      </c>
      <c r="B17" s="13" t="s">
        <v>256</v>
      </c>
      <c r="C17" s="35" t="str">
        <f t="shared" si="1"/>
        <v>ux</v>
      </c>
      <c r="D17" s="13" t="s">
        <v>149</v>
      </c>
      <c r="E17" s="92" t="s">
        <v>277</v>
      </c>
      <c r="F17" t="str">
        <f aca="true" t="shared" si="19" ref="F17:U17">RANDBETWEEN(0,10)</f>
        <v>3</v>
      </c>
      <c r="G17" t="str">
        <f t="shared" si="19"/>
        <v>0</v>
      </c>
      <c r="H17" t="str">
        <f t="shared" si="19"/>
        <v>6</v>
      </c>
      <c r="I17" t="str">
        <f t="shared" si="19"/>
        <v>6</v>
      </c>
      <c r="J17" t="str">
        <f t="shared" si="19"/>
        <v>7</v>
      </c>
      <c r="K17" t="str">
        <f t="shared" si="19"/>
        <v>2</v>
      </c>
      <c r="L17" t="str">
        <f t="shared" si="19"/>
        <v>10</v>
      </c>
      <c r="M17" t="str">
        <f t="shared" si="19"/>
        <v>9</v>
      </c>
      <c r="N17" t="str">
        <f t="shared" si="19"/>
        <v>2</v>
      </c>
      <c r="O17" t="str">
        <f t="shared" si="19"/>
        <v>6</v>
      </c>
      <c r="P17" t="str">
        <f t="shared" si="19"/>
        <v>0</v>
      </c>
      <c r="Q17" t="str">
        <f t="shared" si="19"/>
        <v>6</v>
      </c>
      <c r="R17" t="str">
        <f t="shared" si="19"/>
        <v>5</v>
      </c>
      <c r="S17" t="str">
        <f t="shared" si="19"/>
        <v>9</v>
      </c>
      <c r="T17" t="str">
        <f t="shared" si="19"/>
        <v>10</v>
      </c>
      <c r="U17" t="str">
        <f t="shared" si="19"/>
        <v>1</v>
      </c>
    </row>
    <row r="18" spans="1:21" ht="12" customHeight="1">
      <c r="A18" s="37" t="s">
        <v>253</v>
      </c>
      <c r="B18" s="13" t="s">
        <v>256</v>
      </c>
      <c r="C18" s="35" t="str">
        <f t="shared" si="1"/>
        <v>ux</v>
      </c>
      <c r="D18" s="13" t="s">
        <v>285</v>
      </c>
      <c r="E18" s="13" t="s">
        <v>287</v>
      </c>
      <c r="F18" t="str">
        <f aca="true" t="shared" si="20" ref="F18:U18">RANDBETWEEN(0,10)</f>
        <v>6</v>
      </c>
      <c r="G18" t="str">
        <f t="shared" si="20"/>
        <v>0</v>
      </c>
      <c r="H18" t="str">
        <f t="shared" si="20"/>
        <v>3</v>
      </c>
      <c r="I18" t="str">
        <f t="shared" si="20"/>
        <v>8</v>
      </c>
      <c r="J18" t="str">
        <f t="shared" si="20"/>
        <v>3</v>
      </c>
      <c r="K18" t="str">
        <f t="shared" si="20"/>
        <v>0</v>
      </c>
      <c r="L18" t="str">
        <f t="shared" si="20"/>
        <v>8</v>
      </c>
      <c r="M18" t="str">
        <f t="shared" si="20"/>
        <v>0</v>
      </c>
      <c r="N18" t="str">
        <f t="shared" si="20"/>
        <v>0</v>
      </c>
      <c r="O18" t="str">
        <f t="shared" si="20"/>
        <v>0</v>
      </c>
      <c r="P18" t="str">
        <f t="shared" si="20"/>
        <v>5</v>
      </c>
      <c r="Q18" t="str">
        <f t="shared" si="20"/>
        <v>3</v>
      </c>
      <c r="R18" t="str">
        <f t="shared" si="20"/>
        <v>6</v>
      </c>
      <c r="S18" t="str">
        <f t="shared" si="20"/>
        <v>8</v>
      </c>
      <c r="T18" t="str">
        <f t="shared" si="20"/>
        <v>4</v>
      </c>
      <c r="U18" t="str">
        <f t="shared" si="20"/>
        <v>3</v>
      </c>
    </row>
    <row r="19" spans="1:21" ht="12" customHeight="1">
      <c r="A19" s="37" t="s">
        <v>253</v>
      </c>
      <c r="B19" s="13" t="s">
        <v>256</v>
      </c>
      <c r="C19" s="35" t="str">
        <f t="shared" si="1"/>
        <v>ux</v>
      </c>
      <c r="D19" s="13" t="s">
        <v>298</v>
      </c>
      <c r="E19" s="13"/>
      <c r="F19" t="str">
        <f aca="true" t="shared" si="21" ref="F19:U19">RANDBETWEEN(0,10)</f>
        <v>5</v>
      </c>
      <c r="G19" t="str">
        <f t="shared" si="21"/>
        <v>0</v>
      </c>
      <c r="H19" t="str">
        <f t="shared" si="21"/>
        <v>10</v>
      </c>
      <c r="I19" t="str">
        <f t="shared" si="21"/>
        <v>2</v>
      </c>
      <c r="J19" t="str">
        <f t="shared" si="21"/>
        <v>8</v>
      </c>
      <c r="K19" t="str">
        <f t="shared" si="21"/>
        <v>7</v>
      </c>
      <c r="L19" t="str">
        <f t="shared" si="21"/>
        <v>4</v>
      </c>
      <c r="M19" t="str">
        <f t="shared" si="21"/>
        <v>9</v>
      </c>
      <c r="N19" t="str">
        <f t="shared" si="21"/>
        <v>3</v>
      </c>
      <c r="O19" t="str">
        <f t="shared" si="21"/>
        <v>6</v>
      </c>
      <c r="P19" t="str">
        <f t="shared" si="21"/>
        <v>5</v>
      </c>
      <c r="Q19" t="str">
        <f t="shared" si="21"/>
        <v>5</v>
      </c>
      <c r="R19" t="str">
        <f t="shared" si="21"/>
        <v>5</v>
      </c>
      <c r="S19" t="str">
        <f t="shared" si="21"/>
        <v>1</v>
      </c>
      <c r="T19" t="str">
        <f t="shared" si="21"/>
        <v>7</v>
      </c>
      <c r="U19" t="str">
        <f t="shared" si="21"/>
        <v>10</v>
      </c>
    </row>
    <row r="20" spans="1:21" ht="12" customHeight="1">
      <c r="A20" s="37" t="s">
        <v>253</v>
      </c>
      <c r="B20" s="13" t="s">
        <v>256</v>
      </c>
      <c r="C20" s="35" t="str">
        <f t="shared" si="1"/>
        <v>ux</v>
      </c>
      <c r="D20" s="15" t="s">
        <v>151</v>
      </c>
      <c r="E20" s="39"/>
      <c r="F20" t="str">
        <f aca="true" t="shared" si="22" ref="F20:U20">RANDBETWEEN(0,10)</f>
        <v>5</v>
      </c>
      <c r="G20" t="str">
        <f t="shared" si="22"/>
        <v>3</v>
      </c>
      <c r="H20" t="str">
        <f t="shared" si="22"/>
        <v>7</v>
      </c>
      <c r="I20" t="str">
        <f t="shared" si="22"/>
        <v>9</v>
      </c>
      <c r="J20" t="str">
        <f t="shared" si="22"/>
        <v>0</v>
      </c>
      <c r="K20" t="str">
        <f t="shared" si="22"/>
        <v>3</v>
      </c>
      <c r="L20" t="str">
        <f t="shared" si="22"/>
        <v>4</v>
      </c>
      <c r="M20" t="str">
        <f t="shared" si="22"/>
        <v>9</v>
      </c>
      <c r="N20" t="str">
        <f t="shared" si="22"/>
        <v>3</v>
      </c>
      <c r="O20" t="str">
        <f t="shared" si="22"/>
        <v>10</v>
      </c>
      <c r="P20" t="str">
        <f t="shared" si="22"/>
        <v>2</v>
      </c>
      <c r="Q20" t="str">
        <f t="shared" si="22"/>
        <v>0</v>
      </c>
      <c r="R20" t="str">
        <f t="shared" si="22"/>
        <v>8</v>
      </c>
      <c r="S20" t="str">
        <f t="shared" si="22"/>
        <v>5</v>
      </c>
      <c r="T20" t="str">
        <f t="shared" si="22"/>
        <v>10</v>
      </c>
      <c r="U20" t="str">
        <f t="shared" si="22"/>
        <v>10</v>
      </c>
    </row>
    <row r="21" spans="1:21" ht="12" customHeight="1">
      <c r="A21" s="70" t="str">
        <f>A20</f>
        <v>HJackman</v>
      </c>
      <c r="B21" s="57" t="s">
        <v>256</v>
      </c>
      <c r="C21" s="45" t="str">
        <f t="shared" si="1"/>
        <v>uxT</v>
      </c>
      <c r="D21" s="47" t="str">
        <f>"TOTAL Avail: "&amp;A21</f>
        <v>TOTAL Avail: HJackman</v>
      </c>
      <c r="E21" s="49"/>
      <c r="F21" s="51" t="str">
        <f>32-SUM(F14:F20)</f>
        <v>-5</v>
      </c>
      <c r="G21" s="51" t="str">
        <f>hrsperweek-SUM(G14:G20)</f>
        <v>14</v>
      </c>
      <c r="H21" s="51" t="str">
        <f>hrsperweek-SUM(H14:H20)</f>
        <v>-4</v>
      </c>
      <c r="I21" s="51" t="str">
        <f>hrsperweek-SUM(I14:I20)</f>
        <v>-5</v>
      </c>
      <c r="J21" s="51" t="str">
        <f>hrsperweek-SUM(J14:J20)</f>
        <v>-5</v>
      </c>
      <c r="K21" s="51" t="str">
        <f>hrsperweek-SUM(K14:K20)</f>
        <v>4</v>
      </c>
      <c r="L21" s="51" t="str">
        <f>hrsperweek-SUM(L14:L20)</f>
        <v>-14</v>
      </c>
      <c r="M21" s="51" t="str">
        <f>hrsperweek-SUM(M14:M20)</f>
        <v>-10</v>
      </c>
      <c r="N21" s="51" t="str">
        <f>hrsperweek-SUM(N14:N20)</f>
        <v>13</v>
      </c>
      <c r="O21" s="51" t="str">
        <f>hrsperweek-SUM(O14:O20)</f>
        <v>-2</v>
      </c>
      <c r="P21" s="51" t="str">
        <f>hrsperweek-SUM(P14:P20)</f>
        <v>9</v>
      </c>
      <c r="Q21" s="51" t="str">
        <f>hrsperweek-SUM(Q14:Q20)</f>
        <v>10</v>
      </c>
      <c r="R21" s="51" t="str">
        <f>hrsperweek-SUM(R14:R20)</f>
        <v>-1</v>
      </c>
      <c r="S21" s="51" t="str">
        <f>hrsperweek-SUM(S14:S20)</f>
        <v>7</v>
      </c>
      <c r="T21" s="51" t="str">
        <f>hrsperweek-SUM(T14:T20)</f>
        <v>-23</v>
      </c>
      <c r="U21" s="51" t="str">
        <f>hrsperweek-SUM(U14:U20)</f>
        <v>-5</v>
      </c>
    </row>
  </sheetData>
  <autoFilter ref="$A$1:$E$21"/>
  <conditionalFormatting sqref="D7:E7">
    <cfRule type="cellIs" priority="1" dxfId="0" operator="greaterThan">
      <formula>32</formula>
    </cfRule>
  </conditionalFormatting>
  <conditionalFormatting sqref="D13:E13">
    <cfRule type="cellIs" priority="2" dxfId="0" operator="greaterThan">
      <formula>32</formula>
    </cfRule>
  </conditionalFormatting>
  <conditionalFormatting sqref="D21:E21">
    <cfRule type="cellIs" priority="3" dxfId="0" operator="greaterThan">
      <formula>32</formula>
    </cfRule>
  </conditionalFormatting>
  <conditionalFormatting sqref="F7:U7">
    <cfRule type="cellIs" priority="4" dxfId="0" operator="lessThan">
      <formula>0</formula>
    </cfRule>
  </conditionalFormatting>
  <conditionalFormatting sqref="F13:U13">
    <cfRule type="cellIs" priority="5" dxfId="0" operator="lessThan">
      <formula>0</formula>
    </cfRule>
  </conditionalFormatting>
  <conditionalFormatting sqref="F21:U21">
    <cfRule type="cellIs" priority="6" dxfId="0" operator="lessThan">
      <formula>0</formula>
    </cfRule>
  </conditionalFormatting>
  <conditionalFormatting sqref="F7:U7">
    <cfRule type="cellIs" priority="7" dxfId="1" operator="greaterThan">
      <formula>0</formula>
    </cfRule>
  </conditionalFormatting>
  <conditionalFormatting sqref="F13:U13">
    <cfRule type="cellIs" priority="8" dxfId="1" operator="greaterThan">
      <formula>0</formula>
    </cfRule>
  </conditionalFormatting>
  <conditionalFormatting sqref="F21:U21">
    <cfRule type="cellIs" priority="9" dxfId="1" operator="greaterThan">
      <formula>0</formula>
    </cfRule>
  </conditionalFormatting>
  <dataValidations count="1">
    <dataValidation type="list" allowBlank="1" showInputMessage="1" prompt="Select Project or Task" sqref="E19">
      <formula1>apm!$J$1:$J$106</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